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DPR\02 - CGPR\AMPLIAR\publicacao site\"/>
    </mc:Choice>
  </mc:AlternateContent>
  <xr:revisionPtr revIDLastSave="0" documentId="8_{70B7177C-CC65-4CA9-9C95-D6BCF715359D}" xr6:coauthVersionLast="47" xr6:coauthVersionMax="47" xr10:uidLastSave="{00000000-0000-0000-0000-000000000000}"/>
  <bookViews>
    <workbookView xWindow="3720" yWindow="2700" windowWidth="24840" windowHeight="11295" firstSheet="21" activeTab="24" xr2:uid="{5A8FE4DD-DDB1-401A-B0A6-CC64AB52FF68}"/>
  </bookViews>
  <sheets>
    <sheet name="Introdução" sheetId="41" r:id="rId1"/>
    <sheet name="AMPLIAR (RESUMO)" sheetId="47" r:id="rId2"/>
    <sheet name="FLUXO DE CAIXA NOM.- PAN" sheetId="14" r:id="rId3"/>
    <sheet name="FLUXO DE CAIXA NOM.-S MULT. PAN" sheetId="52" r:id="rId4"/>
    <sheet name="FLUXO DE CAIXA NOM.- DETALHADO" sheetId="72" r:id="rId5"/>
    <sheet name="CAPEX - PAN" sheetId="9" r:id="rId6"/>
    <sheet name="CAPEX - PAN S- MULT." sheetId="43" r:id="rId7"/>
    <sheet name="CAPEX - PAN (ANO A ANO)" sheetId="42" r:id="rId8"/>
    <sheet name="CAPEX - PAN_ANO S- MULT" sheetId="44" r:id="rId9"/>
    <sheet name="OPEX - PAN" sheetId="11" r:id="rId10"/>
    <sheet name="RECEITAS - PAN" sheetId="12" r:id="rId11"/>
    <sheet name="Premissas Gerais" sheetId="53" r:id="rId12"/>
    <sheet name="BASE PAN - CAPEX" sheetId="61" r:id="rId13"/>
    <sheet name="BASE PAN - OPEX" sheetId="2" r:id="rId14"/>
    <sheet name="BASE PAN - RECEITAS" sheetId="3" r:id="rId15"/>
    <sheet name="BASE PAN - RESULTADOS" sheetId="70" r:id="rId16"/>
    <sheet name="Premissas - CAPEX_Manutenção" sheetId="50" r:id="rId17"/>
    <sheet name="CAPEX - Manutenção_PPD" sheetId="63" r:id="rId18"/>
    <sheet name="CAPEX - Manutenção_PTR_Taxiway" sheetId="64" r:id="rId19"/>
    <sheet name="CAPEX - Manutenção_Pátio" sheetId="65" r:id="rId20"/>
    <sheet name="CAPEX - Manut._Desemborracham." sheetId="66" r:id="rId21"/>
    <sheet name="TOTAL - CAPEX_Manutenção" sheetId="68" r:id="rId22"/>
    <sheet name="CAPEX - Navegação Aérea" sheetId="67" r:id="rId23"/>
    <sheet name="Projeção — Demanda PAX" sheetId="74" r:id="rId24"/>
    <sheet name="Projeção - Demanda PAX" sheetId="75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_cf2" localSheetId="23" hidden="1">{#N/A,#N/A,FALSE,"Variables";#N/A,#N/A,FALSE,"NPV Cashflows NZ$";#N/A,#N/A,FALSE,"Cashflows NZ$"}</definedName>
    <definedName name="___cf2" hidden="1">{#N/A,#N/A,FALSE,"Variables";#N/A,#N/A,FALSE,"NPV Cashflows NZ$";#N/A,#N/A,FALSE,"Cashflows NZ$"}</definedName>
    <definedName name="___ddd2" localSheetId="23" hidden="1">{#N/A,#N/A,FALSE,"Cashflow"}</definedName>
    <definedName name="___ddd2" hidden="1">{#N/A,#N/A,FALSE,"Cashflow"}</definedName>
    <definedName name="___eee2" localSheetId="23" hidden="1">{#N/A,#N/A,FALSE,"Cashflow"}</definedName>
    <definedName name="___eee2" hidden="1">{#N/A,#N/A,FALSE,"Cashflow"}</definedName>
    <definedName name="__a1" localSheetId="23" hidden="1">{"mgmt forecast",#N/A,FALSE,"Mgmt Forecast";"dcf table",#N/A,FALSE,"Mgmt Forecast";"sensitivity",#N/A,FALSE,"Mgmt Forecast";"table inputs",#N/A,FALSE,"Mgmt Forecast";"calculations",#N/A,FALSE,"Mgmt Forecast"}</definedName>
    <definedName name="__a1" hidden="1">{"mgmt forecast",#N/A,FALSE,"Mgmt Forecast";"dcf table",#N/A,FALSE,"Mgmt Forecast";"sensitivity",#N/A,FALSE,"Mgmt Forecast";"table inputs",#N/A,FALSE,"Mgmt Forecast";"calculations",#N/A,FALSE,"Mgmt Forecast"}</definedName>
    <definedName name="__a2" localSheetId="23" hidden="1">{"mgmt forecast",#N/A,FALSE,"Mgmt Forecast";"dcf table",#N/A,FALSE,"Mgmt Forecast";"sensitivity",#N/A,FALSE,"Mgmt Forecast";"table inputs",#N/A,FALSE,"Mgmt Forecast";"calculations",#N/A,FALSE,"Mgmt Forecast"}</definedName>
    <definedName name="__a2" hidden="1">{"mgmt forecast",#N/A,FALSE,"Mgmt Forecast";"dcf table",#N/A,FALSE,"Mgmt Forecast";"sensitivity",#N/A,FALSE,"Mgmt Forecast";"table inputs",#N/A,FALSE,"Mgmt Forecast";"calculations",#N/A,FALSE,"Mgmt Forecast"}</definedName>
    <definedName name="__cf2" localSheetId="23" hidden="1">{#N/A,#N/A,FALSE,"Variables";#N/A,#N/A,FALSE,"NPV Cashflows NZ$";#N/A,#N/A,FALSE,"Cashflows NZ$"}</definedName>
    <definedName name="__cf2" hidden="1">{#N/A,#N/A,FALSE,"Variables";#N/A,#N/A,FALSE,"NPV Cashflows NZ$";#N/A,#N/A,FALSE,"Cashflows NZ$"}</definedName>
    <definedName name="__ddd2" localSheetId="23" hidden="1">{#N/A,#N/A,FALSE,"Cashflow"}</definedName>
    <definedName name="__ddd2" hidden="1">{#N/A,#N/A,FALSE,"Cashflow"}</definedName>
    <definedName name="__eee2" localSheetId="23" hidden="1">{#N/A,#N/A,FALSE,"Cashflow"}</definedName>
    <definedName name="__eee2" hidden="1">{#N/A,#N/A,FALSE,"Cashflow"}</definedName>
    <definedName name="__IntlFixup" hidden="1">TRUE</definedName>
    <definedName name="_a1" localSheetId="23" hidden="1">{"mgmt forecast",#N/A,FALSE,"Mgmt Forecast";"dcf table",#N/A,FALSE,"Mgmt Forecast";"sensitivity",#N/A,FALSE,"Mgmt Forecast";"table inputs",#N/A,FALSE,"Mgmt Forecast";"calculations",#N/A,FALSE,"Mgmt Forecast"}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localSheetId="23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cf2" localSheetId="23" hidden="1">{#N/A,#N/A,FALSE,"Variables";#N/A,#N/A,FALSE,"NPV Cashflows NZ$";#N/A,#N/A,FALSE,"Cashflows NZ$"}</definedName>
    <definedName name="_cf2" hidden="1">{#N/A,#N/A,FALSE,"Variables";#N/A,#N/A,FALSE,"NPV Cashflows NZ$";#N/A,#N/A,FALSE,"Cashflows NZ$"}</definedName>
    <definedName name="_ddd2" localSheetId="23" hidden="1">{#N/A,#N/A,FALSE,"Cashflow"}</definedName>
    <definedName name="_ddd2" hidden="1">{#N/A,#N/A,FALSE,"Cashflow"}</definedName>
    <definedName name="_eee2" localSheetId="23" hidden="1">{#N/A,#N/A,FALSE,"Cashflow"}</definedName>
    <definedName name="_eee2" hidden="1">{#N/A,#N/A,FALSE,"Cashflow"}</definedName>
    <definedName name="_xlnm._FilterDatabase" localSheetId="1" hidden="1">'AMPLIAR (RESUMO)'!$A$2:$T$21</definedName>
    <definedName name="_xlnm._FilterDatabase" localSheetId="12" hidden="1">'BASE PAN - CAPEX'!$A$2:$AE$22</definedName>
    <definedName name="_xlnm._FilterDatabase" localSheetId="13" hidden="1">'BASE PAN - OPEX'!$A$2:$CM$37</definedName>
    <definedName name="_xlnm._FilterDatabase" localSheetId="14" hidden="1">'BASE PAN - RECEITAS'!$A$2:$CL$37</definedName>
    <definedName name="_xlnm._FilterDatabase" localSheetId="15" hidden="1">'BASE PAN - RESULTADOS'!$A$2:$CJ$22</definedName>
    <definedName name="_xlnm._FilterDatabase" localSheetId="20" hidden="1">'CAPEX - Manut._Desemborracham.'!$A$2:$S$54</definedName>
    <definedName name="_xlnm._FilterDatabase" localSheetId="19" hidden="1">'CAPEX - Manutenção_Pátio'!$A$2:$M$20</definedName>
    <definedName name="_xlnm._FilterDatabase" localSheetId="17" hidden="1">'CAPEX - Manutenção_PPD'!$A$2:$M$20</definedName>
    <definedName name="_xlnm._FilterDatabase" localSheetId="18" hidden="1">'CAPEX - Manutenção_PTR_Taxiway'!$A$2:$M$20</definedName>
    <definedName name="_xlnm._FilterDatabase" localSheetId="22" hidden="1">'CAPEX - Navegação Aérea'!$A$2:$H$20</definedName>
    <definedName name="_xlnm._FilterDatabase" localSheetId="5" hidden="1">'CAPEX - PAN'!$A$2:$AU$26</definedName>
    <definedName name="_xlnm._FilterDatabase" localSheetId="7" hidden="1">'CAPEX - PAN (ANO A ANO)'!$A$2:$AV$25</definedName>
    <definedName name="_xlnm._FilterDatabase" localSheetId="6" hidden="1">'CAPEX - PAN S- MULT.'!$A$2:$AU$23</definedName>
    <definedName name="_xlnm._FilterDatabase" localSheetId="8" hidden="1">'CAPEX - PAN_ANO S- MULT'!$A$2:$AU$23</definedName>
    <definedName name="_xlnm._FilterDatabase" localSheetId="4" hidden="1">'FLUXO DE CAIXA NOM.- DETALHADO'!$A$2:$EA$23</definedName>
    <definedName name="_xlnm._FilterDatabase" localSheetId="2" hidden="1">'FLUXO DE CAIXA NOM.- PAN'!$A$2:$AL$23</definedName>
    <definedName name="_xlnm._FilterDatabase" localSheetId="3" hidden="1">'FLUXO DE CAIXA NOM.-S MULT. PAN'!$A$2:$AS$23</definedName>
    <definedName name="_xlnm._FilterDatabase" localSheetId="9" hidden="1">'OPEX - PAN'!$A$2:$AL$23</definedName>
    <definedName name="_xlnm._FilterDatabase" localSheetId="24" hidden="1">'Projeção - Demanda PAX'!$A$2:$AG$22</definedName>
    <definedName name="_xlnm._FilterDatabase" localSheetId="23" hidden="1">'Projeção — Demanda PAX'!$A$1:$XED$944</definedName>
    <definedName name="_xlnm._FilterDatabase" localSheetId="10" hidden="1">'RECEITAS - PAN'!$A$2:$AM$23</definedName>
    <definedName name="_GSRATES_1" hidden="1">"CT30000120000728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Order1" hidden="1">255</definedName>
    <definedName name="a1a1a" localSheetId="23" hidden="1">{#N/A,#N/A,FALSE,"Cashflow"}</definedName>
    <definedName name="a1a1a" hidden="1">{#N/A,#N/A,FALSE,"Cashflow"}</definedName>
    <definedName name="a1a1a1a1" localSheetId="23" hidden="1">{#N/A,#N/A,FALSE,"Capacity"}</definedName>
    <definedName name="a1a1a1a1" hidden="1">{#N/A,#N/A,FALSE,"Capacity"}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9" hidden="1">"jmalinchak@970313143838"</definedName>
    <definedName name="aaaaa" localSheetId="23" hidden="1">{#N/A,#N/A,FALSE,"Variables";#N/A,#N/A,FALSE,"NPV Cashflows NZ$";#N/A,#N/A,FALSE,"Cashflows NZ$"}</definedName>
    <definedName name="aaaaa" hidden="1">{#N/A,#N/A,FALSE,"Variables";#N/A,#N/A,FALSE,"NPV Cashflows NZ$";#N/A,#N/A,FALSE,"Cashflows NZ$"}</definedName>
    <definedName name="aaaaaaa" localSheetId="23" hidden="1">{#N/A,#N/A,FALSE,"Cashflow"}</definedName>
    <definedName name="aaaaaaa" hidden="1">{#N/A,#N/A,FALSE,"Cashflow"}</definedName>
    <definedName name="aaaaaaaaaa" localSheetId="23" hidden="1">{#N/A,#N/A,FALSE,"Cashflow"}</definedName>
    <definedName name="aaaaaaaaaa" hidden="1">{#N/A,#N/A,FALSE,"Cashflow"}</definedName>
    <definedName name="AAB_Addin5" hidden="1">"AAB_Description for addin 5,Description for addin 5,Description for addin 5,Description for addin 5,Description for addin 5,Description for addin 5"</definedName>
    <definedName name="AccessDatabase" hidden="1">"S:\Project Management\Corolla Matrix Vibe  RMBSS Tracking\150L~151L~152L RMBSS Tracking Feb.mdb"</definedName>
    <definedName name="adf" localSheetId="23" hidden="1">{"standalone1",#N/A,FALSE,"DCFBase";"standalone2",#N/A,FALSE,"DCFBase"}</definedName>
    <definedName name="adf" hidden="1">{"standalone1",#N/A,FALSE,"DCFBase";"standalone2",#N/A,FALSE,"DCFBase"}</definedName>
    <definedName name="ADopsterling" localSheetId="23" hidden="1">{#N/A,#N/A,FALSE,"Summary";#N/A,#N/A,FALSE,"CF";#N/A,#N/A,FALSE,"P&amp;L";#N/A,#N/A,FALSE,"BS";#N/A,#N/A,FALSE,"Returns";#N/A,#N/A,FALSE,"Assumptions";#N/A,#N/A,FALSE,"Analysis"}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nscount" hidden="1">1</definedName>
    <definedName name="Area_generica" localSheetId="23">[1]BD!$DF$5</definedName>
    <definedName name="Area_generica">[2]BD!$DF$5</definedName>
    <definedName name="ATM">#REF!</definedName>
    <definedName name="CF" localSheetId="23">'Projeção — Demanda PAX'!$DF$21</definedName>
    <definedName name="CF">#REF!</definedName>
    <definedName name="ChangeRange" hidden="1">#N/A</definedName>
    <definedName name="CO_AC_At" localSheetId="23">'[1]2. Simulador - Investimento'!$C$100</definedName>
    <definedName name="CO_AC_At">'[2]2. Simulador - Investimento'!$C$100</definedName>
    <definedName name="CO_AC_Dj" localSheetId="23">'[1]2. Simulador - Investimento'!$L$100</definedName>
    <definedName name="CO_AC_Dj">'[2]2. Simulador - Investimento'!$L$100</definedName>
    <definedName name="CO_AC_Man" localSheetId="23">'[1]2. Simulador - Manutenção'!$C$54</definedName>
    <definedName name="CO_AC_Man">'[2]2. Simulador - Manutenção'!$C$54</definedName>
    <definedName name="CO_AC_Sm" localSheetId="23">[1]BD_Cálculos!$AP$68</definedName>
    <definedName name="CO_AC_Sm">[2]BD_Cálculos!$AP$68</definedName>
    <definedName name="CO_CNAV_Dj" localSheetId="23">'[1]2. Simulador - Investimento'!$L$112</definedName>
    <definedName name="CO_CNAV_Dj">'[2]2. Simulador - Investimento'!$L$112</definedName>
    <definedName name="CO_CPPD_At" localSheetId="23">[1]BD_Cálculos!$G$24</definedName>
    <definedName name="CO_CPPD_At">[2]BD_Cálculos!$G$24</definedName>
    <definedName name="CO_CRA_At" localSheetId="23">'[1]2. Simulador - Investimento'!$C$108</definedName>
    <definedName name="CO_CRA_At">'[2]2. Simulador - Investimento'!$C$108</definedName>
    <definedName name="CO_CRA_Sm" localSheetId="23">[1]BD_Cálculos!$AD$20</definedName>
    <definedName name="CO_CRA_Sm">[2]BD_Cálculos!$AD$20</definedName>
    <definedName name="CO_DHP_Sm" localSheetId="23">[1]BD_Cálculos!$H$24</definedName>
    <definedName name="CO_DHP_Sm">[2]BD_Cálculos!$H$24</definedName>
    <definedName name="CO_MAV_Dj" localSheetId="23">'[1]2. Simulador - Investimento'!$L$101</definedName>
    <definedName name="CO_MAV_Dj">'[2]2. Simulador - Investimento'!$L$101</definedName>
    <definedName name="CO_MAV_Man" localSheetId="23">'[1]2. Simulador - Manutenção'!$C$55</definedName>
    <definedName name="CO_MAV_Man">'[2]2. Simulador - Manutenção'!$C$55</definedName>
    <definedName name="CO_MVP_At" localSheetId="23">'[1]2. Simulador - Investimento'!$C$99</definedName>
    <definedName name="CO_MVP_At">'[2]2. Simulador - Investimento'!$C$99</definedName>
    <definedName name="CO_MVP_Dj" localSheetId="23">'[1]2. Simulador - Investimento'!$L$99</definedName>
    <definedName name="CO_MVP_Dj">'[2]2. Simulador - Investimento'!$L$99</definedName>
    <definedName name="CO_OVN_At" localSheetId="23">'[1]2. Simulador - Investimento'!$C$106</definedName>
    <definedName name="CO_OVN_At">'[2]2. Simulador - Investimento'!$C$106</definedName>
    <definedName name="CO_OVN_Dj" localSheetId="23">'[1]2. Simulador - Investimento'!$L$106</definedName>
    <definedName name="CO_OVN_Dj">'[2]2. Simulador - Investimento'!$L$106</definedName>
    <definedName name="CO_PHP_At" localSheetId="23">[1]BD_Cálculos!$L$50</definedName>
    <definedName name="CO_PHP_At">[2]BD_Cálculos!$L$50</definedName>
    <definedName name="CO_PHP_Sm" localSheetId="23">[1]BD_Cálculos!$G$50</definedName>
    <definedName name="CO_PHP_Sm">[2]BD_Cálculos!$G$50</definedName>
    <definedName name="CO_PI_At" localSheetId="23">'[1]2. Simulador - Investimento'!$C$107</definedName>
    <definedName name="CO_PI_At">'[2]2. Simulador - Investimento'!$C$107</definedName>
    <definedName name="CO_RLV_At" comment="Classificação do relevo" localSheetId="23">'[1]2. Simulador - Investimento'!$C$109</definedName>
    <definedName name="CO_RLV_At" comment="Classificação do relevo">'[2]2. Simulador - Investimento'!$C$109</definedName>
    <definedName name="CO_TPO_At_Rede">#REF!</definedName>
    <definedName name="CO_TPOC1X_At" localSheetId="23">'[1]2. Simulador - Investimento'!$C$102</definedName>
    <definedName name="CO_TPOC1X_At">'[2]2. Simulador - Investimento'!$C$102</definedName>
    <definedName name="CO_TPOC1X_Dj" localSheetId="23">'[1]2. Simulador - Investimento'!$L$102</definedName>
    <definedName name="CO_TPOC1X_Dj">'[2]2. Simulador - Investimento'!$L$102</definedName>
    <definedName name="CO_TPOC1X_Sm" localSheetId="23">[1]BD_Cálculos!$GW$6</definedName>
    <definedName name="CO_TPOC1X_Sm">[2]BD_Cálculos!$GW$6</definedName>
    <definedName name="CO_TPOC1Y_At" localSheetId="23">'[1]2. Simulador - Investimento'!$C$103</definedName>
    <definedName name="CO_TPOC1Y_At">'[2]2. Simulador - Investimento'!$C$103</definedName>
    <definedName name="CO_TPOC1Y_Dj" localSheetId="23">'[1]2. Simulador - Investimento'!$L$103</definedName>
    <definedName name="CO_TPOC1Y_Dj">'[2]2. Simulador - Investimento'!$L$103</definedName>
    <definedName name="CO_TPOC1Y_Sm" localSheetId="23">[1]BD_Cálculos!$GX$6</definedName>
    <definedName name="CO_TPOC1Y_Sm">[2]BD_Cálculos!$GX$6</definedName>
    <definedName name="CO_TPOC2X_At" localSheetId="23">'[1]2. Simulador - Investimento'!$C$104</definedName>
    <definedName name="CO_TPOC2X_At">'[2]2. Simulador - Investimento'!$C$104</definedName>
    <definedName name="CO_TPOC2X_Dj" localSheetId="23">'[1]2. Simulador - Investimento'!$L$104</definedName>
    <definedName name="CO_TPOC2X_Dj">'[2]2. Simulador - Investimento'!$L$104</definedName>
    <definedName name="CO_TPOC2X_Sm" localSheetId="23">[1]BD_Cálculos!$GY$6</definedName>
    <definedName name="CO_TPOC2X_Sm">[2]BD_Cálculos!$GY$6</definedName>
    <definedName name="CO_TPOC2Y_At" localSheetId="23">'[1]2. Simulador - Investimento'!$C$105</definedName>
    <definedName name="CO_TPOC2Y_At">'[2]2. Simulador - Investimento'!$C$105</definedName>
    <definedName name="CO_TPOC2Y_Dj" localSheetId="23">'[1]2. Simulador - Investimento'!$L$105</definedName>
    <definedName name="CO_TPOC2Y_Dj">'[2]2. Simulador - Investimento'!$L$105</definedName>
    <definedName name="CO_TPOC2Y_Sm" localSheetId="23">[1]BD_Cálculos!$GZ$6</definedName>
    <definedName name="CO_TPOC2Y_Sm">[2]BD_Cálculos!$GZ$6</definedName>
    <definedName name="CO_UF_At" localSheetId="23">'[1]2. Simulador - Investimento'!$C$98</definedName>
    <definedName name="CO_UF_At">'[2]2. Simulador - Investimento'!$C$98</definedName>
    <definedName name="CO_UF_Man" localSheetId="23">'[1]2. Simulador - Manutenção'!$C$53</definedName>
    <definedName name="CO_UF_Man">'[2]2. Simulador - Manutenção'!$C$53</definedName>
    <definedName name="CO_VCI_Dj" localSheetId="23">'[1]2. Simulador - Investimento'!$L$111</definedName>
    <definedName name="CO_VCI_Dj">'[2]2. Simulador - Investimento'!$L$111</definedName>
    <definedName name="CO_VO_Dj" localSheetId="23">'[1]2. Simulador - Investimento'!$L$110</definedName>
    <definedName name="CO_VO_Dj">'[2]2. Simulador - Investimento'!$L$110</definedName>
    <definedName name="ContentsHelp" hidden="1">#N/A</definedName>
    <definedName name="CreateTable" hidden="1">#N/A</definedName>
    <definedName name="CST_AD_IRJ" localSheetId="23">'[1]1.1 Atualização de Dados'!$G$12</definedName>
    <definedName name="CST_AD_IRJ">'[2]1.1 Atualização de Dados'!$G$12</definedName>
    <definedName name="CST_ALQ_COFINS" localSheetId="23">'[1]1.1 Atualização de Dados'!$F$10</definedName>
    <definedName name="CST_ALQ_COFINS">'[2]1.1 Atualização de Dados'!$F$10</definedName>
    <definedName name="CST_ALQ_ICMS" localSheetId="23">[1]BD_Cálculos!$N$124</definedName>
    <definedName name="CST_ALQ_ICMS">[2]BD_Cálculos!$N$124</definedName>
    <definedName name="CST_ALQ_ICMS_Man" localSheetId="23">[1]BD_Cálculos!$O$124</definedName>
    <definedName name="CST_ALQ_ICMS_Man">[2]BD_Cálculos!$O$124</definedName>
    <definedName name="CST_ALQ_PIS" localSheetId="23">'[1]1.1 Atualização de Dados'!$F$9</definedName>
    <definedName name="CST_ALQ_PIS">'[2]1.1 Atualização de Dados'!$F$9</definedName>
    <definedName name="CST_AQS_CAP5070" localSheetId="23">[1]BD_Cálculos!$K$120</definedName>
    <definedName name="CST_AQS_CAP5070">[2]BD_Cálculos!$K$120</definedName>
    <definedName name="CST_AQS_CAP5070_Man" localSheetId="23">[1]BD_Cálculos!$K$123</definedName>
    <definedName name="CST_AQS_CAP5070_Man">[2]BD_Cálculos!$K$123</definedName>
    <definedName name="CST_AQS_CM30" localSheetId="23">[1]BD_Cálculos!$K$119</definedName>
    <definedName name="CST_AQS_CM30">[2]BD_Cálculos!$K$119</definedName>
    <definedName name="CST_AQS_CM30_Man" localSheetId="23">[1]BD_Cálculos!$K$122</definedName>
    <definedName name="CST_AQS_CM30_Man">[2]BD_Cálculos!$K$122</definedName>
    <definedName name="CST_AQS_RR1C" localSheetId="23">[1]BD_Cálculos!$K$121</definedName>
    <definedName name="CST_AQS_RR1C">[2]BD_Cálculos!$K$121</definedName>
    <definedName name="CST_AQS_RR1C_Man" localSheetId="23">[1]BD_Cálculos!$K$124</definedName>
    <definedName name="CST_AQS_RR1C_Man">[2]BD_Cálculos!$K$124</definedName>
    <definedName name="CST_BDI_DIF" localSheetId="23">[1]BD!$U$98</definedName>
    <definedName name="CST_BDI_DIF">[2]BD!$U$98</definedName>
    <definedName name="CST_BDI_ROD" localSheetId="23">[1]BD!$U$97</definedName>
    <definedName name="CST_BDI_ROD">[2]BD!$U$97</definedName>
    <definedName name="CST_NAV_EMS1" localSheetId="23">[1]BD_Cálculos!$T$124</definedName>
    <definedName name="CST_NAV_EMS1">[2]BD_Cálculos!$T$124</definedName>
    <definedName name="CST_NAV_EMS2" localSheetId="23">[1]BD_Cálculos!$T$125</definedName>
    <definedName name="CST_NAV_EMS2">[2]BD_Cálculos!$T$125</definedName>
    <definedName name="CST_NAV_EMS3" localSheetId="23">[1]BD_Cálculos!$T$126</definedName>
    <definedName name="CST_NAV_EMS3">[2]BD_Cálculos!$T$126</definedName>
    <definedName name="CST_NAV_EMSA" localSheetId="23">[1]BD_Cálculos!$T$127</definedName>
    <definedName name="CST_NAV_EMSA">[2]BD_Cálculos!$T$127</definedName>
    <definedName name="CST_NAV_LBPTR" localSheetId="23">[1]BD_Cálculos!$T$119</definedName>
    <definedName name="CST_NAV_LBPTR">[2]BD_Cálculos!$T$119</definedName>
    <definedName name="CST_TRP_CAP5070" localSheetId="23">[1]BD_Cálculos!$K$133</definedName>
    <definedName name="CST_TRP_CAP5070">[2]BD_Cálculos!$K$133</definedName>
    <definedName name="CST_TRP_CAP5070_Man" localSheetId="23">[1]BD_Cálculos!$K$136</definedName>
    <definedName name="CST_TRP_CAP5070_Man">[2]BD_Cálculos!$K$136</definedName>
    <definedName name="CST_TRP_CM30" localSheetId="23">[1]BD_Cálculos!$K$132</definedName>
    <definedName name="CST_TRP_CM30">[2]BD_Cálculos!$K$132</definedName>
    <definedName name="CST_TRP_CM30_Man" localSheetId="23">[1]BD_Cálculos!$K$135</definedName>
    <definedName name="CST_TRP_CM30_Man">[2]BD_Cálculos!$K$135</definedName>
    <definedName name="CST_TRP_RR1C" localSheetId="23">[1]BD_Cálculos!$K$134</definedName>
    <definedName name="CST_TRP_RR1C">[2]BD_Cálculos!$K$134</definedName>
    <definedName name="CST_TRP_RR1C_Man" localSheetId="23">[1]BD_Cálculos!$K$137</definedName>
    <definedName name="CST_TRP_RR1C_Man">[2]BD_Cálculos!$K$137</definedName>
    <definedName name="Custo" localSheetId="23">'[3]2. Simulador'!$F$218</definedName>
    <definedName name="Custo">'[4]2. Simulador'!$F$218</definedName>
    <definedName name="ddd" localSheetId="23" hidden="1">{#N/A,#N/A,FALSE,"Cashflow"}</definedName>
    <definedName name="ddd" hidden="1">{#N/A,#N/A,FALSE,"Cashflow"}</definedName>
    <definedName name="DeleteRange" hidden="1">#N/A</definedName>
    <definedName name="DeleteTable" hidden="1">#N/A</definedName>
    <definedName name="Densidade_concreto" localSheetId="23">[1]BD!$AH$90</definedName>
    <definedName name="Densidade_concreto">[2]BD!$AH$90</definedName>
    <definedName name="dg" localSheetId="23" hidden="1">{"mgmt forecast",#N/A,FALSE,"Mgmt Forecast";"dcf table",#N/A,FALSE,"Mgmt Forecast";"sensitivity",#N/A,FALSE,"Mgmt Forecast";"table inputs",#N/A,FALSE,"Mgmt Forecast";"calculations",#N/A,FALSE,"Mgmt Forecast"}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localSheetId="23" hidden="1">{#N/A,#N/A,FALSE,"Antony Financials";#N/A,#N/A,FALSE,"Cowboy Financials";#N/A,#N/A,FALSE,"Combined";#N/A,#N/A,FALSE,"Valuematrix";#N/A,#N/A,FALSE,"DCFAntony";#N/A,#N/A,FALSE,"DCFCowboy";#N/A,#N/A,FALSE,"DCFCombined"}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j" localSheetId="23" hidden="1">{#N/A,#N/A,FALSE,"CreditStat";#N/A,#N/A,FALSE,"SPbrkup";#N/A,#N/A,FALSE,"MerSPsyn";#N/A,#N/A,FALSE,"MerSPwKCsyn";#N/A,#N/A,FALSE,"MerSPwKCsyn (2)";#N/A,#N/A,FALSE,"CreditStat (2)"}</definedName>
    <definedName name="dj" hidden="1">{#N/A,#N/A,FALSE,"CreditStat";#N/A,#N/A,FALSE,"SPbrkup";#N/A,#N/A,FALSE,"MerSPsyn";#N/A,#N/A,FALSE,"MerSPwKCsyn";#N/A,#N/A,FALSE,"MerSPwKCsyn (2)";#N/A,#N/A,FALSE,"CreditStat (2)"}</definedName>
    <definedName name="e" localSheetId="23" hidden="1">{#N/A,#N/A,FALSE,"Variables";#N/A,#N/A,FALSE,"NPV Cashflows NZ$";#N/A,#N/A,FALSE,"Cashflows NZ$"}</definedName>
    <definedName name="e" hidden="1">{#N/A,#N/A,FALSE,"Variables";#N/A,#N/A,FALSE,"NPV Cashflows NZ$";#N/A,#N/A,FALSE,"Cashflows NZ$"}</definedName>
    <definedName name="eee" localSheetId="23" hidden="1">{#N/A,#N/A,FALSE,"Cashflow"}</definedName>
    <definedName name="eee" hidden="1">{#N/A,#N/A,FALSE,"Cashflow"}</definedName>
    <definedName name="EST_AR_At" localSheetId="23">'[1]2. Simulador - Investimento'!$C$59</definedName>
    <definedName name="EST_AR_At">'[2]2. Simulador - Investimento'!$C$59</definedName>
    <definedName name="EST_AR_Dj" localSheetId="23">'[1]2. Simulador - Investimento'!$L$59</definedName>
    <definedName name="EST_AR_Dj">'[2]2. Simulador - Investimento'!$L$59</definedName>
    <definedName name="EST_AR_Man" localSheetId="23">'[1]2. Simulador - Manutenção'!$C$40</definedName>
    <definedName name="EST_AR_Man">'[2]2. Simulador - Manutenção'!$C$40</definedName>
    <definedName name="EST_ARMAX_Sm" localSheetId="23">[1]BD_Cálculos!$AI$53</definedName>
    <definedName name="EST_ARMAX_Sm">[2]BD_Cálculos!$AI$53</definedName>
    <definedName name="EST_ARMIN_Sm" localSheetId="23">[1]BD_Cálculos!$AH$53</definedName>
    <definedName name="EST_ARMIN_Sm">[2]BD_Cálculos!$AH$53</definedName>
    <definedName name="EST_BGS_Sm" localSheetId="23">[1]BD!$CC$5/100</definedName>
    <definedName name="EST_BGS_Sm">[2]BD!$CC$5/100</definedName>
    <definedName name="EST_BGTC_Sm" localSheetId="23">[1]BD!$CB$5/100</definedName>
    <definedName name="EST_BGTC_Sm">[2]BD!$CB$5/100</definedName>
    <definedName name="EST_CBUQ_Sm" localSheetId="23">[1]BD!$CA$5/100</definedName>
    <definedName name="EST_CBUQ_Sm">[2]BD!$CA$5/100</definedName>
    <definedName name="EST_EXP_Dj" localSheetId="23">'[1]2. Simulador - Investimento'!$L$61</definedName>
    <definedName name="EST_EXP_Dj">'[2]2. Simulador - Investimento'!$L$61</definedName>
    <definedName name="EST_IC_Man" localSheetId="23">'[1]2. Simulador - Manutenção'!$C$41</definedName>
    <definedName name="EST_IC_Man">'[2]2. Simulador - Manutenção'!$C$41</definedName>
    <definedName name="EST_MAN1" localSheetId="23">[1]BD_Cálculos!#REF!</definedName>
    <definedName name="EST_MAN1">[2]BD_Cálculos!#REF!</definedName>
    <definedName name="EST_MAN2" localSheetId="23">[1]BD_Cálculos!#REF!</definedName>
    <definedName name="EST_MAN2">[2]BD_Cálculos!#REF!</definedName>
    <definedName name="EST_MAN3" localSheetId="23">[1]BD_Cálculos!#REF!</definedName>
    <definedName name="EST_MAN3">[2]BD_Cálculos!#REF!</definedName>
    <definedName name="EST_MAN4" localSheetId="23">[1]BD_Cálculos!#REF!</definedName>
    <definedName name="EST_MAN4">[2]BD_Cálculos!#REF!</definedName>
    <definedName name="EST_MAN5" localSheetId="23">[1]BD_Cálculos!#REF!</definedName>
    <definedName name="EST_MAN5">[2]BD_Cálculos!#REF!</definedName>
    <definedName name="EST_TPO">#REF!</definedName>
    <definedName name="EST_TPO_At" localSheetId="23">'[1]2. Simulador - Investimento'!$C$60</definedName>
    <definedName name="EST_TPO_At">'[2]2. Simulador - Investimento'!$C$60</definedName>
    <definedName name="EST_TPOM_Man" localSheetId="23">'[1]2. Simulador - Manutenção'!$C$42</definedName>
    <definedName name="EST_TPOM_Man">'[2]2. Simulador - Manutenção'!$C$42</definedName>
    <definedName name="EST_VGMAX_Sm" localSheetId="23">[1]BD_Cálculos!$AJ$44</definedName>
    <definedName name="EST_VGMAX_Sm">[2]BD_Cálculos!$AJ$44</definedName>
    <definedName name="EST_VGMIN_Sm" localSheetId="23">[1]BD_Cálculos!$AI$44</definedName>
    <definedName name="EST_VGMIN_Sm">[2]BD_Cálculos!$AI$44</definedName>
    <definedName name="Fator_Empolamento" localSheetId="23">[1]BD!$AB$95</definedName>
    <definedName name="Fator_Empolamento">[2]BD!$AB$95</definedName>
    <definedName name="fl" localSheetId="23" hidden="1">{#N/A,#N/A,FALSE,"Variables";#N/A,#N/A,FALSE,"NPV Cashflows NZ$";#N/A,#N/A,FALSE,"Cashflows NZ$"}</definedName>
    <definedName name="fl" hidden="1">{#N/A,#N/A,FALSE,"Variables";#N/A,#N/A,FALSE,"NPV Cashflows NZ$";#N/A,#N/A,FALSE,"Cashflows NZ$"}</definedName>
    <definedName name="FXP_APTR_Sm" localSheetId="23">[1]BD_Cálculos!$BE$24</definedName>
    <definedName name="FXP_APTR_Sm">[2]BD_Cálculos!$BE$24</definedName>
    <definedName name="FXP_AT_Sm" localSheetId="23">[1]BD_Cálculos!$BL$12</definedName>
    <definedName name="FXP_AT_Sm">[2]BD_Cálculos!$BL$12</definedName>
    <definedName name="FXP_PTRC_Sm" localSheetId="23">[1]BD_Cálculos!$BE$13</definedName>
    <definedName name="FXP_PTRC_Sm">[2]BD_Cálculos!$BE$13</definedName>
    <definedName name="FXP_PTRL_Sm" localSheetId="23">[1]BD_Cálculos!$BJ$13</definedName>
    <definedName name="FXP_PTRL_Sm">[2]BD_Cálculos!$BJ$13</definedName>
    <definedName name="FXP1_AR_At" localSheetId="23">[1]BD_Cálculos!$AB$15</definedName>
    <definedName name="FXP1_AR_At">[2]BD_Cálculos!$AB$15</definedName>
    <definedName name="FXP1_AR_Sm" localSheetId="23">[1]BD_Cálculos!$AB$37</definedName>
    <definedName name="FXP1_AR_Sm">[2]BD_Cálculos!$AB$37</definedName>
    <definedName name="FXP1_CM_At" localSheetId="23">'[1]2. Simulador - Investimento'!$C$24</definedName>
    <definedName name="FXP1_CM_At">'[2]2. Simulador - Investimento'!$C$24</definedName>
    <definedName name="FXP1_CM_Dj" localSheetId="23">'[1]2. Simulador - Investimento'!$L$24</definedName>
    <definedName name="FXP1_CM_Dj">'[2]2. Simulador - Investimento'!$L$24</definedName>
    <definedName name="FXP1_CM_Sm" localSheetId="23">[1]BD_Cálculos!$AB$29</definedName>
    <definedName name="FXP1_CM_Sm">[2]BD_Cálculos!$AB$29</definedName>
    <definedName name="FXP1_LA_At" localSheetId="23">'[1]2. Simulador - Investimento'!$C$25</definedName>
    <definedName name="FXP1_LA_At">'[2]2. Simulador - Investimento'!$C$25</definedName>
    <definedName name="FXP1_LA_Dj" localSheetId="23">'[1]2. Simulador - Investimento'!$L$25</definedName>
    <definedName name="FXP1_LA_Dj">'[2]2. Simulador - Investimento'!$L$25</definedName>
    <definedName name="FXP1_LA_Sm" localSheetId="23">[1]BD_Cálculos!$AC$29</definedName>
    <definedName name="FXP1_LA_Sm">[2]BD_Cálculos!$AC$29</definedName>
    <definedName name="FXP2_AR_At" localSheetId="23">[1]BD_Cálculos!$AC$15</definedName>
    <definedName name="FXP2_AR_At">[2]BD_Cálculos!$AC$15</definedName>
    <definedName name="FXP2_AR_Sm" localSheetId="23">[1]BD_Cálculos!$AC$37</definedName>
    <definedName name="FXP2_AR_Sm">[2]BD_Cálculos!$AC$37</definedName>
    <definedName name="FXP2_CM_At" localSheetId="23">'[1]2. Simulador - Investimento'!$C$26</definedName>
    <definedName name="FXP2_CM_At">'[2]2. Simulador - Investimento'!$C$26</definedName>
    <definedName name="FXP2_CM_Dj" localSheetId="23">'[1]2. Simulador - Investimento'!$L$26</definedName>
    <definedName name="FXP2_CM_Dj">'[2]2. Simulador - Investimento'!$L$26</definedName>
    <definedName name="FXP2_CM_Sm" localSheetId="23">[1]BD_Cálculos!$AI$29</definedName>
    <definedName name="FXP2_CM_Sm">[2]BD_Cálculos!$AI$29</definedName>
    <definedName name="FXP2_LA_At" localSheetId="23">'[1]2. Simulador - Investimento'!$C$27</definedName>
    <definedName name="FXP2_LA_At">'[2]2. Simulador - Investimento'!$C$27</definedName>
    <definedName name="FXP2_LA_Dj" localSheetId="23">'[1]2. Simulador - Investimento'!$L$27</definedName>
    <definedName name="FXP2_LA_Dj">'[2]2. Simulador - Investimento'!$L$27</definedName>
    <definedName name="FXP2_LA_Sm" localSheetId="23">[1]BD_Cálculos!$AJ$29</definedName>
    <definedName name="FXP2_LA_Sm">[2]BD_Cálculos!$AJ$29</definedName>
    <definedName name="FXPP1_AEXP_Sm">[5]BD_Cálculos!$AW$18</definedName>
    <definedName name="FXPP1_AR_At" localSheetId="23">[1]BD_Cálculos!$AS$18</definedName>
    <definedName name="FXPP1_AR_At">[2]BD_Cálculos!$AS$18</definedName>
    <definedName name="FXPP1_AR_Sm" localSheetId="23">[1]BD_Cálculos!$AT$18</definedName>
    <definedName name="FXPP1_AR_Sm">[2]BD_Cálculos!$AT$18</definedName>
    <definedName name="FXPP1_CM_At" localSheetId="23">[1]BD_Cálculos!$AS$10</definedName>
    <definedName name="FXPP1_CM_At">[2]BD_Cálculos!$AS$10</definedName>
    <definedName name="FXPP1_CM_Sm" localSheetId="23">[1]BD_Cálculos!$AW$10</definedName>
    <definedName name="FXPP1_CM_Sm">[2]BD_Cálculos!$AW$10</definedName>
    <definedName name="FXPP1_LA_At" localSheetId="23">[1]BD_Cálculos!$AT$10</definedName>
    <definedName name="FXPP1_LA_At">[2]BD_Cálculos!$AT$10</definedName>
    <definedName name="FXPP1_LA_Sm" localSheetId="23">[1]BD_Cálculos!$AX$10</definedName>
    <definedName name="FXPP1_LA_Sm">[2]BD_Cálculos!$AX$10</definedName>
    <definedName name="FXPP2_AEXP_Sm">[5]BD_Cálculos!$AX$18</definedName>
    <definedName name="FXPP2_AR_At" localSheetId="23">[1]BD_Cálculos!$AS$38</definedName>
    <definedName name="FXPP2_AR_At">[2]BD_Cálculos!$AS$38</definedName>
    <definedName name="FXPP2_AR_Sm" localSheetId="23">[1]BD_Cálculos!$AT$38</definedName>
    <definedName name="FXPP2_AR_Sm">[2]BD_Cálculos!$AT$38</definedName>
    <definedName name="FXPP2_CM_At" localSheetId="23">[1]BD_Cálculos!$AS$30</definedName>
    <definedName name="FXPP2_CM_At">[2]BD_Cálculos!$AS$30</definedName>
    <definedName name="FXPP2_CM_Sm" localSheetId="23">[1]BD_Cálculos!$AW$30</definedName>
    <definedName name="FXPP2_CM_Sm">[2]BD_Cálculos!$AW$30</definedName>
    <definedName name="FXPP2_LA_At" localSheetId="23">[1]BD_Cálculos!$AT$30</definedName>
    <definedName name="FXPP2_LA_At">[2]BD_Cálculos!$AT$30</definedName>
    <definedName name="FXPP2_LA_Sm" localSheetId="23">[1]BD_Cálculos!$AX$30</definedName>
    <definedName name="FXPP2_LA_Sm">[2]BD_Cálculos!$AX$30</definedName>
    <definedName name="Girokreditering" localSheetId="23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HTML_CodePage" hidden="1">1252</definedName>
    <definedName name="HTML_Control" localSheetId="23" hidden="1">{"'RELATÓRIO'!$A$1:$E$20","'RELATÓRIO'!$A$22:$D$34","'INTERNET'!$A$31:$G$58","'INTERNET'!$A$1:$G$28","'SÉRIE HISTÓRICA'!$A$167:$H$212","'SÉRIE HISTÓRICA'!$A$56:$H$101"}</definedName>
    <definedName name="HTML_Control" hidden="1">{"'RELATÓRIO'!$A$1:$E$20","'RELATÓRIO'!$A$22:$D$34","'INTERNET'!$A$31:$G$58","'INTERNET'!$A$1:$G$28","'SÉRIE HISTÓRICA'!$A$167:$H$212","'SÉRIE HISTÓRICA'!$A$56:$H$101"}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"C:\DIVULGAÇÃO INPC IPCA 2001\inpc0501.htm"</definedName>
    <definedName name="HTML_Title" hidden="1">""</definedName>
    <definedName name="ID_Simulação" localSheetId="23">'[1]2. Simulador - Investimento'!$C$7</definedName>
    <definedName name="ID_Simulação">'[2]2. Simulador - Investimento'!$C$7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39476.0172685185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azz" localSheetId="23" hidden="1">{#N/A,#N/A,FALSE,"Spain MKT";#N/A,#N/A,FALSE,"Assumptions";#N/A,#N/A,FALSE,"Adve";#N/A,#N/A,FALSE,"E-Commerce";#N/A,#N/A,FALSE,"Opex";#N/A,#N/A,FALSE,"P&amp;L";#N/A,#N/A,FALSE,"FCF &amp; DCF"}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localSheetId="23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h" localSheetId="23" hidden="1">{#N/A,#N/A,FALSE,"CreditStat";#N/A,#N/A,FALSE,"SPbrkup";#N/A,#N/A,FALSE,"MerSPsyn";#N/A,#N/A,FALSE,"MerSPwKCsyn";#N/A,#N/A,FALSE,"MerSPwKCsyn (2)";#N/A,#N/A,FALSE,"CreditStat (2)"}</definedName>
    <definedName name="jh" hidden="1">{#N/A,#N/A,FALSE,"CreditStat";#N/A,#N/A,FALSE,"SPbrkup";#N/A,#N/A,FALSE,"MerSPsyn";#N/A,#N/A,FALSE,"MerSPwKCsyn";#N/A,#N/A,FALSE,"MerSPwKCsyn (2)";#N/A,#N/A,FALSE,"CreditStat (2)"}</definedName>
    <definedName name="kjhkjh" localSheetId="23" hidden="1">{#N/A,#N/A,FALSE,"ORIX CSC"}</definedName>
    <definedName name="kjhkjh" hidden="1">{#N/A,#N/A,FALSE,"ORIX CSC"}</definedName>
    <definedName name="limcount" hidden="1">1</definedName>
    <definedName name="lkjlj" localSheetId="2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MC" localSheetId="23" hidden="1">{"Purchase 100 Cash",#N/A,FALSE,"Deal 1";#N/A,#N/A,FALSE,"Deal 1b"}</definedName>
    <definedName name="MC" hidden="1">{"Purchase 100 Cash",#N/A,FALSE,"Deal 1";#N/A,#N/A,FALSE,"Deal 1b"}</definedName>
    <definedName name="MerrillPrintIt" hidden="1">#N/A</definedName>
    <definedName name="MOut" localSheetId="23" hidden="1">{"CSC_1",#N/A,FALSE,"CSC Outputs";"CSC_2",#N/A,FALSE,"CSC Outputs"}</definedName>
    <definedName name="MOut" hidden="1">{"CSC_1",#N/A,FALSE,"CSC Outputs";"CSC_2",#N/A,FALSE,"CSC Outputs"}</definedName>
    <definedName name="NAV_AF_At" localSheetId="23">'[1]2. Simulador - Investimento'!$C$65</definedName>
    <definedName name="NAV_AF_At">'[2]2. Simulador - Investimento'!$C$65</definedName>
    <definedName name="NAV_AF_At_Rede">#REF!</definedName>
    <definedName name="NAV_AF_Dj" localSheetId="23">'[1]2. Simulador - Investimento'!$L$65</definedName>
    <definedName name="NAV_AF_Dj">'[2]2. Simulador - Investimento'!$L$65</definedName>
    <definedName name="NAV_AF_Sm" localSheetId="23">[1]BD_Cálculos!$GP$22</definedName>
    <definedName name="NAV_AF_Sm">[2]BD_Cálculos!$GP$22</definedName>
    <definedName name="NAV_ALSC1X_At" localSheetId="23">[1]BD_Cálculos!$HF$10</definedName>
    <definedName name="NAV_ALSC1X_At">[2]BD_Cálculos!$HF$10</definedName>
    <definedName name="NAV_ALSC1X_Sm" localSheetId="23">[1]BD_Cálculos!$HF$22</definedName>
    <definedName name="NAV_ALSC1X_Sm">[2]BD_Cálculos!$HF$22</definedName>
    <definedName name="NAV_ALSC1Y_At" localSheetId="23">[1]BD_Cálculos!$HI$10</definedName>
    <definedName name="NAV_ALSC1Y_At">[2]BD_Cálculos!$HI$10</definedName>
    <definedName name="NAV_ALSC1Y_Sm" localSheetId="23">[1]BD_Cálculos!$HI$22</definedName>
    <definedName name="NAV_ALSC1Y_Sm">[2]BD_Cálculos!$HI$22</definedName>
    <definedName name="NAV_ALSC2X_At" localSheetId="23">[1]BD_Cálculos!$HN$10</definedName>
    <definedName name="NAV_ALSC2X_At">[2]BD_Cálculos!$HN$10</definedName>
    <definedName name="NAV_ALSC2X_Sm" localSheetId="23">[1]BD_Cálculos!$HN$22</definedName>
    <definedName name="NAV_ALSC2X_Sm">[2]BD_Cálculos!$HN$22</definedName>
    <definedName name="NAV_ALSC2Y_At" localSheetId="23">[1]BD_Cálculos!$HQ$10</definedName>
    <definedName name="NAV_ALSC2Y_At">[2]BD_Cálculos!$HQ$10</definedName>
    <definedName name="NAV_ALSC2Y_Sm" localSheetId="23">[1]BD_Cálculos!$HQ$22</definedName>
    <definedName name="NAV_ALSC2Y_Sm">[2]BD_Cálculos!$HQ$22</definedName>
    <definedName name="NAV_BI_At" localSheetId="23">[1]BD_Cálculos!$GZ$10</definedName>
    <definedName name="NAV_BI_At">[2]BD_Cálculos!$GZ$10</definedName>
    <definedName name="NAV_BI_Sm" localSheetId="23">[1]BD_Cálculos!$GZ$22</definedName>
    <definedName name="NAV_BI_Sm">[2]BD_Cálculos!$GZ$22</definedName>
    <definedName name="NAV_EMS_At" localSheetId="23">'[1]2. Simulador - Investimento'!$C$67</definedName>
    <definedName name="NAV_EMS_At">'[2]2. Simulador - Investimento'!$C$67</definedName>
    <definedName name="NAV_EMS_At_Rede">#REF!</definedName>
    <definedName name="NAV_EMS_Dj" localSheetId="23">'[1]2. Simulador - Investimento'!$L$67</definedName>
    <definedName name="NAV_EMS_Dj">'[2]2. Simulador - Investimento'!$L$67</definedName>
    <definedName name="NAV_EMS_Sm" localSheetId="23">[1]BD_Cálculos!$GS$22</definedName>
    <definedName name="NAV_EMS_Sm">[2]BD_Cálculos!$GS$22</definedName>
    <definedName name="NAV_ERAA_At" localSheetId="23">[1]BD_Cálculos!$GT$10</definedName>
    <definedName name="NAV_ERAA_At">[2]BD_Cálculos!$GT$10</definedName>
    <definedName name="NAV_ERAA_Sm" localSheetId="23">[1]BD_Cálculos!$GT$22</definedName>
    <definedName name="NAV_ERAA_Sm">[2]BD_Cálculos!$GT$22</definedName>
    <definedName name="NAV_FA_At" localSheetId="23">[1]BD_Cálculos!$HA$10</definedName>
    <definedName name="NAV_FA_At">[2]BD_Cálculos!$HA$10</definedName>
    <definedName name="NAV_FA_Sm" localSheetId="23">[1]BD_Cálculos!$HA$22</definedName>
    <definedName name="NAV_FA_Sm">[2]BD_Cálculos!$HA$22</definedName>
    <definedName name="NAV_ILS_At_Rede">#REF!</definedName>
    <definedName name="NAV_ILSC1X_At" localSheetId="23">'[1]2. Simulador - Investimento'!$C$70</definedName>
    <definedName name="NAV_ILSC1X_At">'[2]2. Simulador - Investimento'!$C$70</definedName>
    <definedName name="NAV_ILSC1X_Dj" localSheetId="23">'[1]2. Simulador - Investimento'!$L$70</definedName>
    <definedName name="NAV_ILSC1X_Dj">'[2]2. Simulador - Investimento'!$L$70</definedName>
    <definedName name="NAV_ILSC1X_Sm" localSheetId="23">[1]BD_Cálculos!$GV$22</definedName>
    <definedName name="NAV_ILSC1X_Sm">[2]BD_Cálculos!$GV$22</definedName>
    <definedName name="NAV_ILSC1Y_At" localSheetId="23">'[1]2. Simulador - Investimento'!$C$71</definedName>
    <definedName name="NAV_ILSC1Y_At">'[2]2. Simulador - Investimento'!$C$71</definedName>
    <definedName name="NAV_ILSC1Y_Dj" localSheetId="23">'[1]2. Simulador - Investimento'!$L$71</definedName>
    <definedName name="NAV_ILSC1Y_Dj">'[2]2. Simulador - Investimento'!$L$71</definedName>
    <definedName name="NAV_ILSC1Y_Sm" localSheetId="23">[1]BD_Cálculos!$GW$22</definedName>
    <definedName name="NAV_ILSC1Y_Sm">[2]BD_Cálculos!$GW$22</definedName>
    <definedName name="NAV_ILSC2X_At" localSheetId="23">'[1]2. Simulador - Investimento'!$C$72</definedName>
    <definedName name="NAV_ILSC2X_At">'[2]2. Simulador - Investimento'!$C$72</definedName>
    <definedName name="NAV_ILSC2X_Dj" localSheetId="23">'[1]2. Simulador - Investimento'!$L$72</definedName>
    <definedName name="NAV_ILSC2X_Dj">'[2]2. Simulador - Investimento'!$L$72</definedName>
    <definedName name="NAV_ILSC2X_Sm" localSheetId="23">[1]BD_Cálculos!$GX$22</definedName>
    <definedName name="NAV_ILSC2X_Sm">[2]BD_Cálculos!$GX$22</definedName>
    <definedName name="NAV_ILSC2Y_At" localSheetId="23">'[1]2. Simulador - Investimento'!$C$73</definedName>
    <definedName name="NAV_ILSC2Y_At">'[2]2. Simulador - Investimento'!$C$73</definedName>
    <definedName name="NAV_ILSC2Y_Dj" localSheetId="23">'[1]2. Simulador - Investimento'!$L$73</definedName>
    <definedName name="NAV_ILSC2Y_Dj">'[2]2. Simulador - Investimento'!$L$73</definedName>
    <definedName name="NAV_ILSC2Y_Sm" localSheetId="23">[1]BD_Cálculos!$GY$22</definedName>
    <definedName name="NAV_ILSC2Y_Sm">[2]BD_Cálculos!$GY$22</definedName>
    <definedName name="NAV_LAD_At" localSheetId="23">'[1]2. Simulador - Investimento'!$C$75</definedName>
    <definedName name="NAV_LAD_At">'[2]2. Simulador - Investimento'!$C$75</definedName>
    <definedName name="NAV_LAD_Dj" localSheetId="23">'[1]2. Simulador - Investimento'!$L$75</definedName>
    <definedName name="NAV_LAD_Dj">'[2]2. Simulador - Investimento'!$L$75</definedName>
    <definedName name="NAV_LBPPD1_At" localSheetId="23">[1]BD_Cálculos!$HC$10</definedName>
    <definedName name="NAV_LBPPD1_At">[2]BD_Cálculos!$HC$10</definedName>
    <definedName name="NAV_LBPPD1_Sm" localSheetId="23">[1]BD_Cálculos!$HC$22</definedName>
    <definedName name="NAV_LBPPD1_Sm">[2]BD_Cálculos!$HC$22</definedName>
    <definedName name="NAV_LBPPD2_At" localSheetId="23">[1]BD_Cálculos!$HK$10</definedName>
    <definedName name="NAV_LBPPD2_At">[2]BD_Cálculos!$HK$10</definedName>
    <definedName name="NAV_LBPPD2_Sm" localSheetId="23">[1]BD_Cálculos!$HK$22</definedName>
    <definedName name="NAV_LBPPD2_Sm">[2]BD_Cálculos!$HK$22</definedName>
    <definedName name="NAV_LBPTR_At" localSheetId="23">[1]BD_Cálculos!$HB$10</definedName>
    <definedName name="NAV_LBPTR_At">[2]BD_Cálculos!$HB$10</definedName>
    <definedName name="NAV_LBPTR_Sm" localSheetId="23">[1]BD_Cálculos!$HB$22</definedName>
    <definedName name="NAV_LBPTR_Sm">[2]BD_Cálculos!$HB$22</definedName>
    <definedName name="NAV_LC1X_At" localSheetId="23">'[1]2. Simulador - Investimento'!$C$78</definedName>
    <definedName name="NAV_LC1X_At">'[2]2. Simulador - Investimento'!$C$78</definedName>
    <definedName name="NAV_LC1X_Dj" localSheetId="23">'[1]2. Simulador - Investimento'!$L$78</definedName>
    <definedName name="NAV_LC1X_Dj">'[2]2. Simulador - Investimento'!$L$78</definedName>
    <definedName name="NAV_LC1Y_At" localSheetId="23">'[1]2. Simulador - Investimento'!$C$79</definedName>
    <definedName name="NAV_LC1Y_At">'[2]2. Simulador - Investimento'!$C$79</definedName>
    <definedName name="NAV_LC1Y_Dj" localSheetId="23">'[1]2. Simulador - Investimento'!$L$79</definedName>
    <definedName name="NAV_LC1Y_Dj">'[2]2. Simulador - Investimento'!$L$79</definedName>
    <definedName name="NAV_LC2X_At" localSheetId="23">'[1]2. Simulador - Investimento'!$C$81</definedName>
    <definedName name="NAV_LC2X_At">'[2]2. Simulador - Investimento'!$C$81</definedName>
    <definedName name="NAV_LC2X_Dj" localSheetId="23">'[1]2. Simulador - Investimento'!$L$81</definedName>
    <definedName name="NAV_LC2X_Dj">'[2]2. Simulador - Investimento'!$L$81</definedName>
    <definedName name="NAV_LC2Y_At" localSheetId="23">'[1]2. Simulador - Investimento'!$C$82</definedName>
    <definedName name="NAV_LC2Y_At">'[2]2. Simulador - Investimento'!$C$82</definedName>
    <definedName name="NAV_LC2Y_Dj" localSheetId="23">'[1]2. Simulador - Investimento'!$L$82</definedName>
    <definedName name="NAV_LC2Y_Dj">'[2]2. Simulador - Investimento'!$L$82</definedName>
    <definedName name="NAV_LCFC1X_At" localSheetId="23">[1]BD_Cálculos!$HE$10</definedName>
    <definedName name="NAV_LCFC1X_At">[2]BD_Cálculos!$HE$10</definedName>
    <definedName name="NAV_LCFC1X_Sm" localSheetId="23">[1]BD_Cálculos!$HE$22</definedName>
    <definedName name="NAV_LCFC1X_Sm">[2]BD_Cálculos!$HE$22</definedName>
    <definedName name="NAV_LCFC1Y_At" localSheetId="23">[1]BD_Cálculos!$HH$10</definedName>
    <definedName name="NAV_LCFC1Y_At">[2]BD_Cálculos!$HH$10</definedName>
    <definedName name="NAV_LCFC1Y_Sm" localSheetId="23">[1]BD_Cálculos!$HH$22</definedName>
    <definedName name="NAV_LCFC1Y_Sm">[2]BD_Cálculos!$HH$22</definedName>
    <definedName name="NAV_LCFC2X_At" localSheetId="23">[1]BD_Cálculos!$HM$10</definedName>
    <definedName name="NAV_LCFC2X_At">[2]BD_Cálculos!$HM$10</definedName>
    <definedName name="NAV_LCFC2X_Sm" localSheetId="23">[1]BD_Cálculos!$HM$22</definedName>
    <definedName name="NAV_LCFC2X_Sm">[2]BD_Cálculos!$HM$22</definedName>
    <definedName name="NAV_LCFC2Y_At" localSheetId="23">[1]BD_Cálculos!$HP$10</definedName>
    <definedName name="NAV_LCFC2Y_At">[2]BD_Cálculos!$HP$10</definedName>
    <definedName name="NAV_LCFC2Y_Sm" localSheetId="23">[1]BD_Cálculos!$HP$22</definedName>
    <definedName name="NAV_LCFC2Y_Sm">[2]BD_Cálculos!$HP$22</definedName>
    <definedName name="NAV_LEPPD1_At" localSheetId="23">[1]BD_Cálculos!$HD$10</definedName>
    <definedName name="NAV_LEPPD1_At">[2]BD_Cálculos!$HD$10</definedName>
    <definedName name="NAV_LEPPD1_Sm" localSheetId="23">[1]BD_Cálculos!$HD$22</definedName>
    <definedName name="NAV_LEPPD1_Sm">[2]BD_Cálculos!$HD$22</definedName>
    <definedName name="NAV_LEPPD2_At" localSheetId="23">[1]BD_Cálculos!$HL$10</definedName>
    <definedName name="NAV_LEPPD2_At">[2]BD_Cálculos!$HL$10</definedName>
    <definedName name="NAV_LEPPD2_Sm" localSheetId="23">[1]BD_Cálculos!$HL$22</definedName>
    <definedName name="NAV_LEPPD2_Sm">[2]BD_Cálculos!$HL$22</definedName>
    <definedName name="NAV_LPPD1_At" localSheetId="23">'[1]2. Simulador - Investimento'!$C$77</definedName>
    <definedName name="NAV_LPPD1_At">'[2]2. Simulador - Investimento'!$C$77</definedName>
    <definedName name="NAV_LPPD1_Dj" localSheetId="23">'[1]2. Simulador - Investimento'!$L$77</definedName>
    <definedName name="NAV_LPPD1_Dj">'[2]2. Simulador - Investimento'!$L$77</definedName>
    <definedName name="NAV_LPPD2_At" localSheetId="23">'[1]2. Simulador - Investimento'!$C$80</definedName>
    <definedName name="NAV_LPPD2_At">'[2]2. Simulador - Investimento'!$C$80</definedName>
    <definedName name="NAV_LPPD2_Dj" localSheetId="23">'[1]2. Simulador - Investimento'!$L$80</definedName>
    <definedName name="NAV_LPPD2_Dj">'[2]2. Simulador - Investimento'!$L$80</definedName>
    <definedName name="NAV_LPTR_At" localSheetId="23">'[1]2. Simulador - Investimento'!$C$76</definedName>
    <definedName name="NAV_LPTR_At">'[2]2. Simulador - Investimento'!$C$76</definedName>
    <definedName name="NAV_LPTR_Dj" localSheetId="23">'[1]2. Simulador - Investimento'!$L$76</definedName>
    <definedName name="NAV_LPTR_Dj">'[2]2. Simulador - Investimento'!$L$76</definedName>
    <definedName name="NAV_PAPI_At_Rede" localSheetId="23">IF(IFERROR(SEARCH("L6;",'[1]3. Simulação em rede'!$AY1),0)+IFERROR(SEARCH("L7;",'[1]3. Simulação em rede'!$AY1),0)+IFERROR(SEARCH("L8;",'[1]3. Simulação em rede'!$AY1),0)+IFERROR(SEARCH("L9;",'[1]3. Simulação em rede'!$AY1),0)+IFERROR(SEARCH("L9A;",'[1]3. Simulação em rede'!$AY1),0)&gt;0,   CHAR(252),   CHAR(251))</definedName>
    <definedName name="NAV_PAPI_At_Rede">IF(IFERROR(SEARCH("L6;",#REF!),0)+IFERROR(SEARCH("L7;",#REF!),0)+IFERROR(SEARCH("L8;",#REF!),0)+IFERROR(SEARCH("L9;",#REF!),0)+IFERROR(SEARCH("L9A;",#REF!),0)&gt;0,   CHAR(252),   CHAR(251))</definedName>
    <definedName name="NAV_PAPIC1X_At" localSheetId="23">[1]BD_Cálculos!$HG$10</definedName>
    <definedName name="NAV_PAPIC1X_At">[2]BD_Cálculos!$HG$10</definedName>
    <definedName name="NAV_PAPIC1X_Sm" localSheetId="23">[1]BD_Cálculos!$HG$22</definedName>
    <definedName name="NAV_PAPIC1X_Sm">[2]BD_Cálculos!$HG$22</definedName>
    <definedName name="NAV_PAPIC1Y_At" localSheetId="23">[1]BD_Cálculos!$HJ$10</definedName>
    <definedName name="NAV_PAPIC1Y_At">[2]BD_Cálculos!$HJ$10</definedName>
    <definedName name="NAV_PAPIC1Y_Sm" localSheetId="23">[1]BD_Cálculos!$HJ$22</definedName>
    <definedName name="NAV_PAPIC1Y_Sm">[2]BD_Cálculos!$HJ$22</definedName>
    <definedName name="NAV_PAPIC2X_At" localSheetId="23">[1]BD_Cálculos!$HO$10</definedName>
    <definedName name="NAV_PAPIC2X_At">[2]BD_Cálculos!$HO$10</definedName>
    <definedName name="NAV_PAPIC2X_Sm" localSheetId="23">[1]BD_Cálculos!$HO$22</definedName>
    <definedName name="NAV_PAPIC2X_Sm">[2]BD_Cálculos!$HO$22</definedName>
    <definedName name="NAV_PAPIC2Y_At" localSheetId="23">[1]BD_Cálculos!$HR$10</definedName>
    <definedName name="NAV_PAPIC2Y_At">[2]BD_Cálculos!$HR$10</definedName>
    <definedName name="NAV_PAPIC2Y_Sm" localSheetId="23">[1]BD_Cálculos!$HR$22</definedName>
    <definedName name="NAV_PAPIC2Y_Sm">[2]BD_Cálculos!$HR$22</definedName>
    <definedName name="NAV_TWR_At" localSheetId="23">'[1]2. Simulador - Investimento'!$C$66</definedName>
    <definedName name="NAV_TWR_At">'[2]2. Simulador - Investimento'!$C$66</definedName>
    <definedName name="NAV_TWR_At_Rede">#REF!</definedName>
    <definedName name="NAV_TWR_Dj" localSheetId="23">'[1]2. Simulador - Investimento'!$L$66</definedName>
    <definedName name="NAV_TWR_Dj">'[2]2. Simulador - Investimento'!$L$66</definedName>
    <definedName name="NAV_TWR_Sm" localSheetId="23">[1]BD_Cálculos!$GQ$22</definedName>
    <definedName name="NAV_TWR_Sm">[2]BD_Cálculos!$GQ$22</definedName>
    <definedName name="NAV_VOR_At" localSheetId="23">'[1]2. Simulador - Investimento'!$C$69</definedName>
    <definedName name="NAV_VOR_At">'[2]2. Simulador - Investimento'!$C$69</definedName>
    <definedName name="NAV_VOR_At_Rede">#REF!</definedName>
    <definedName name="NAV_VOR_Dj" localSheetId="23">'[1]2. Simulador - Investimento'!$L$69</definedName>
    <definedName name="NAV_VOR_Dj">'[2]2. Simulador - Investimento'!$L$69</definedName>
    <definedName name="NAV_VOR_Sm" localSheetId="23">[1]BD_Cálculos!$GU$22</definedName>
    <definedName name="NAV_VOR_Sm">[2]BD_Cálculos!$GU$22</definedName>
    <definedName name="NewRange" hidden="1">#N/A</definedName>
    <definedName name="Nível_de_Serviço">#REF!</definedName>
    <definedName name="Ocupação_Comercial">'[6]Método Atual'!$C$3</definedName>
    <definedName name="Ocupação_Geral">'[6]Método Atual'!$B$3</definedName>
    <definedName name="OPA_AC2_At" localSheetId="23">'[1]2. Simulador - Investimento'!$C$129</definedName>
    <definedName name="OPA_AC2_At">'[2]2. Simulador - Investimento'!$C$129</definedName>
    <definedName name="OPA_AC2_Dj" localSheetId="23">'[1]2. Simulador - Investimento'!$L$129</definedName>
    <definedName name="OPA_AC2_Dj">'[2]2. Simulador - Investimento'!$L$129</definedName>
    <definedName name="OPA_AC2_Sm" localSheetId="23">[1]BD_Cálculos!$AP$76</definedName>
    <definedName name="OPA_AC2_Sm">[2]BD_Cálculos!$AP$76</definedName>
    <definedName name="OPA_ACT_At" localSheetId="23">'[1]2. Simulador - Investimento'!$C$130</definedName>
    <definedName name="OPA_ACT_At">'[2]2. Simulador - Investimento'!$C$130</definedName>
    <definedName name="OPA_ACT_Dj" localSheetId="23">'[1]2. Simulador - Investimento'!$L$130</definedName>
    <definedName name="OPA_ACT_Dj">'[2]2. Simulador - Investimento'!$L$130</definedName>
    <definedName name="OPA_ACT_Sm" localSheetId="23">[1]BD_Cálculos!$AP$84</definedName>
    <definedName name="OPA_ACT_Sm">[2]BD_Cálculos!$AP$84</definedName>
    <definedName name="OPA_ALT_At" localSheetId="23">'[1]2. Simulador - Investimento'!$C$123</definedName>
    <definedName name="OPA_ALT_At">'[2]2. Simulador - Investimento'!$C$123</definedName>
    <definedName name="OPA_ANV_At" localSheetId="23">'[1]2. Simulador - Investimento'!$C$127</definedName>
    <definedName name="OPA_ANV_At">'[2]2. Simulador - Investimento'!$C$127</definedName>
    <definedName name="OPA_ANV_Dj" localSheetId="23">'[1]2. Simulador - Investimento'!$L$127</definedName>
    <definedName name="OPA_ANV_Dj">'[2]2. Simulador - Investimento'!$L$127</definedName>
    <definedName name="OPA_CAT_Dj" localSheetId="23">'[1]2. Simulador - Investimento'!$L$143</definedName>
    <definedName name="OPA_CAT_Dj">'[2]2. Simulador - Investimento'!$L$143</definedName>
    <definedName name="OPA_CO_At" localSheetId="23">'[1]2. Simulador - Investimento'!$C$134</definedName>
    <definedName name="OPA_CO_At">'[2]2. Simulador - Investimento'!$C$134</definedName>
    <definedName name="OPA_CO_Dj" localSheetId="23">'[1]2. Simulador - Investimento'!$L$134</definedName>
    <definedName name="OPA_CO_Dj">'[2]2. Simulador - Investimento'!$L$134</definedName>
    <definedName name="OPA_COI_At" localSheetId="23">'[1]2. Simulador - Investimento'!$C$121</definedName>
    <definedName name="OPA_COI_At">'[2]2. Simulador - Investimento'!$C$121</definedName>
    <definedName name="OPA_CPPD_At" localSheetId="23">'[1]2. Simulador - Investimento'!$C$135</definedName>
    <definedName name="OPA_CPPD_At">'[2]2. Simulador - Investimento'!$C$135</definedName>
    <definedName name="OPA_DEP_At" localSheetId="23">'[1]2. Simulador - Investimento'!$C$138</definedName>
    <definedName name="OPA_DEP_At">'[2]2. Simulador - Investimento'!$C$138</definedName>
    <definedName name="OPA_EPH_At" localSheetId="23">'[1]2. Simulador - Investimento'!$C$136</definedName>
    <definedName name="OPA_EPH_At">'[2]2. Simulador - Investimento'!$C$136</definedName>
    <definedName name="OPA_EST_Dj" localSheetId="23">'[1]2. Simulador - Investimento'!$L$147</definedName>
    <definedName name="OPA_EST_Dj">'[2]2. Simulador - Investimento'!$L$147</definedName>
    <definedName name="OPA_INC_At" localSheetId="23">'[1]2. Simulador - Investimento'!$C$124</definedName>
    <definedName name="OPA_INC_At">'[2]2. Simulador - Investimento'!$C$124</definedName>
    <definedName name="OPA_MIX_At" localSheetId="23">'[1]2. Simulador - Investimento'!$C$153</definedName>
    <definedName name="OPA_MIX_At">'[2]2. Simulador - Investimento'!$C$153</definedName>
    <definedName name="OPA_MIX_Dj" localSheetId="23">'[1]2. Simulador - Investimento'!$L$153</definedName>
    <definedName name="OPA_MIX_Dj">'[2]2. Simulador - Investimento'!$L$153</definedName>
    <definedName name="OPA_PAT_Dj" localSheetId="23">'[1]2. Simulador - Investimento'!$L$139</definedName>
    <definedName name="OPA_PAT_Dj">'[2]2. Simulador - Investimento'!$L$139</definedName>
    <definedName name="OPA_PCC_At" localSheetId="23">'[1]2. Simulador - Investimento'!$C$141</definedName>
    <definedName name="OPA_PCC_At">'[2]2. Simulador - Investimento'!$C$141</definedName>
    <definedName name="OPA_PCC_Dj" localSheetId="23">'[1]2. Simulador - Investimento'!$L$141</definedName>
    <definedName name="OPA_PCC_Dj">'[2]2. Simulador - Investimento'!$L$141</definedName>
    <definedName name="OPA_PI_Dj" localSheetId="23">'[1]2. Simulador - Investimento'!$L$146</definedName>
    <definedName name="OPA_PI_Dj">'[2]2. Simulador - Investimento'!$L$146</definedName>
    <definedName name="OPA_PPMD_Dj" localSheetId="23">'[1]2. Simulador - Investimento'!$L$131</definedName>
    <definedName name="OPA_PPMD_Dj">'[2]2. Simulador - Investimento'!$L$131</definedName>
    <definedName name="OPA_TEM_At" localSheetId="23">'[1]2. Simulador - Investimento'!$C$122</definedName>
    <definedName name="OPA_TEM_At">'[2]2. Simulador - Investimento'!$C$122</definedName>
    <definedName name="OPA_TPOPAT_Dj" localSheetId="23">'[1]2. Simulador - Investimento'!$L$140</definedName>
    <definedName name="OPA_TPOPAT_Dj">'[2]2. Simulador - Investimento'!$L$140</definedName>
    <definedName name="OPA_VMC_At" localSheetId="23">'[1]2. Simulador - Investimento'!$C$137</definedName>
    <definedName name="OPA_VMC_At">'[2]2. Simulador - Investimento'!$C$137</definedName>
    <definedName name="OPA_VN2_At" localSheetId="23">'[1]2. Simulador - Investimento'!$C$142</definedName>
    <definedName name="OPA_VN2_At">'[2]2. Simulador - Investimento'!$C$142</definedName>
    <definedName name="OPA_VN2_Dj" localSheetId="23">'[1]2. Simulador - Investimento'!$L$142</definedName>
    <definedName name="OPA_VN2_Dj">'[2]2. Simulador - Investimento'!$L$142</definedName>
    <definedName name="PAT_AER_Sm" localSheetId="23">[1]BD_Cálculos!$EF$19</definedName>
    <definedName name="PAT_AER_Sm">[2]BD_Cálculos!$EF$19</definedName>
    <definedName name="PAT_AEXP_Sm" localSheetId="23">[1]BD_Cálculos!$FU$13</definedName>
    <definedName name="PAT_AEXP_Sm">[2]BD_Cálculos!$FU$13</definedName>
    <definedName name="PAT_AExpAVGFPavF_Sm">[5]BD_Cálculos!$EN$35</definedName>
    <definedName name="PAT_AExpAVGRPavF_Sm">[5]BD_Cálculos!$EP$30</definedName>
    <definedName name="PAT_AExpAVGRPavR_Sm">[5]BD_Cálculos!$EO$30</definedName>
    <definedName name="PAT_AEXPPavF_Sm">[5]BD_Cálculos!$FV$38</definedName>
    <definedName name="PAT_AEXPPavR_Sm">[5]BD_Cálculos!$FV$13</definedName>
    <definedName name="PAT_ANV_Sm" localSheetId="23">[1]BD_Cálculos!$EE$19</definedName>
    <definedName name="PAT_ANV_Sm">[2]BD_Cálculos!$EE$19</definedName>
    <definedName name="PAT_AR_At" localSheetId="23">'[1]2. Simulador - Investimento'!$C$43</definedName>
    <definedName name="PAT_AR_At">'[2]2. Simulador - Investimento'!$C$43</definedName>
    <definedName name="PAT_AR_Dj" localSheetId="23">'[1]2. Simulador - Investimento'!$L$43</definedName>
    <definedName name="PAT_AR_Dj">'[2]2. Simulador - Investimento'!$L$43</definedName>
    <definedName name="PAT_AR_Man" localSheetId="23">'[1]2. Simulador - Manutenção'!$C$30</definedName>
    <definedName name="PAT_AR_Man">'[2]2. Simulador - Manutenção'!$C$30</definedName>
    <definedName name="PAT_AR_Sm" localSheetId="23">[1]BD_Cálculos!$EH$19</definedName>
    <definedName name="PAT_AR_Sm">[2]BD_Cálculos!$EH$19</definedName>
    <definedName name="PAT_AREF_Sm" localSheetId="23">[1]BD_Cálculos!$FT$13</definedName>
    <definedName name="PAT_AREF_Sm">[2]BD_Cálculos!$FT$13</definedName>
    <definedName name="PAT_ARefAVGRPavF_Sm">[5]BD_Cálculos!$EN$30</definedName>
    <definedName name="PAT_ARefAVGRPavR_Sm">[5]BD_Cálculos!$EM$30</definedName>
    <definedName name="PAT_AREFPavF_Sm">[5]BD_Cálculos!$FU$38</definedName>
    <definedName name="PAT_AREFPavR_Sm">[5]BD_Cálculos!$FU$13</definedName>
    <definedName name="PAT_ARFlex_Sm">[5]BD_Cálculos!$EF$23</definedName>
    <definedName name="PAT_ATP_Sm" localSheetId="23">[1]BD_Cálculos!$EJ$19</definedName>
    <definedName name="PAT_ATP_Sm">[2]BD_Cálculos!$EJ$19</definedName>
    <definedName name="PAT_AVG_AEXP_Sm">[5]BD_Cálculos!$EQ$22</definedName>
    <definedName name="PAT_AVG_AREF_Sm">[5]BD_Cálculos!$EP$22</definedName>
    <definedName name="PAT_AVG_At">'[5]2. Simulador - Investimento'!$C$46</definedName>
    <definedName name="PAT_AVG_Dj">'[5]2. Simulador - Investimento'!$L$46</definedName>
    <definedName name="PAT_AVG_Pav">'[5]2. Simulador - Investimento'!$D$46</definedName>
    <definedName name="PAT_AVG_Sm">[5]BD_Cálculos!$EO$22</definedName>
    <definedName name="PAT_AVS_At" localSheetId="23">'[1]2. Simulador - Investimento'!$C$45</definedName>
    <definedName name="PAT_AVS_At">'[2]2. Simulador - Investimento'!$C$45</definedName>
    <definedName name="PAT_AVS_Dj" localSheetId="23">'[1]2. Simulador - Investimento'!$L$45</definedName>
    <definedName name="PAT_AVS_Dj">'[2]2. Simulador - Investimento'!$L$45</definedName>
    <definedName name="PAT_AVS_Sm" localSheetId="23">[1]BD_Cálculos!$EG$19</definedName>
    <definedName name="PAT_AVS_Sm">[2]BD_Cálculos!$EG$19</definedName>
    <definedName name="PAT_BGS_Sm" localSheetId="23">[1]BD_Cálculos!$FV$19</definedName>
    <definedName name="PAT_BGS_Sm">[2]BD_Cálculos!$FV$19</definedName>
    <definedName name="PAT_CCP_Man" localSheetId="23">[1]BD_Cálculos!$U$156</definedName>
    <definedName name="PAT_CCP_Man">[2]BD_Cálculos!$U$156</definedName>
    <definedName name="PAT_CCP_Sm" localSheetId="23">[1]BD_Cálculos!$FT$19</definedName>
    <definedName name="PAT_CCP_Sm">[2]BD_Cálculos!$FT$19</definedName>
    <definedName name="PAT_CCR_Sm" localSheetId="23">[1]BD_Cálculos!$FU$19</definedName>
    <definedName name="PAT_CCR_Sm">[2]BD_Cálculos!$FU$19</definedName>
    <definedName name="PAT_CM_Sm" localSheetId="23">[1]BD_Cálculos!$EF$13</definedName>
    <definedName name="PAT_CM_Sm">[2]BD_Cálculos!$EF$13</definedName>
    <definedName name="PAT_CPS_At" localSheetId="23">'[1]2. Simulador - Investimento'!$C$44</definedName>
    <definedName name="PAT_CPS_At">'[2]2. Simulador - Investimento'!$C$44</definedName>
    <definedName name="PAT_CPS_Man" localSheetId="23">'[1]2. Simulador - Manutenção'!$C$31</definedName>
    <definedName name="PAT_CPS_Man">'[2]2. Simulador - Manutenção'!$C$31</definedName>
    <definedName name="PAT_CPS_Sm" localSheetId="23">[1]BD_Cálculos!$FT$22</definedName>
    <definedName name="PAT_CPS_Sm">[2]BD_Cálculos!$FT$22</definedName>
    <definedName name="PAT_IC_Man" localSheetId="23">'[1]2. Simulador - Manutenção'!$C$32</definedName>
    <definedName name="PAT_IC_Man">'[2]2. Simulador - Manutenção'!$C$32</definedName>
    <definedName name="PAT_MAN1" localSheetId="23">[1]BD_Cálculos!#REF!</definedName>
    <definedName name="PAT_MAN1">[2]BD_Cálculos!#REF!</definedName>
    <definedName name="PAT_MAN2" localSheetId="23">[1]BD_Cálculos!#REF!</definedName>
    <definedName name="PAT_MAN2">[2]BD_Cálculos!#REF!</definedName>
    <definedName name="PAT_MAN3" localSheetId="23">[1]BD_Cálculos!#REF!</definedName>
    <definedName name="PAT_MAN3">[2]BD_Cálculos!#REF!</definedName>
    <definedName name="PAT_MAN4" localSheetId="23">[1]BD_Cálculos!#REF!</definedName>
    <definedName name="PAT_MAN4">[2]BD_Cálculos!#REF!</definedName>
    <definedName name="PAT_MAN5" localSheetId="23">[1]BD_Cálculos!#REF!</definedName>
    <definedName name="PAT_MAN5">[2]BD_Cálculos!#REF!</definedName>
    <definedName name="PAT_PF_Sm" localSheetId="23">[1]BD_Cálculos!$EG$13</definedName>
    <definedName name="PAT_PF_Sm">[2]BD_Cálculos!$EG$13</definedName>
    <definedName name="PAT_TPOM_Man" localSheetId="23">'[1]2. Simulador - Manutenção'!$C$33</definedName>
    <definedName name="PAT_TPOM_Man">'[2]2. Simulador - Manutenção'!$C$33</definedName>
    <definedName name="PAT_VSBGS_Sm" localSheetId="23">[1]BD_Cálculos!$FV$31</definedName>
    <definedName name="PAT_VSBGS_Sm">[2]BD_Cálculos!$FV$31</definedName>
    <definedName name="PAT_VSBGTC_Sm" localSheetId="23">[1]BD_Cálculos!$FU$31</definedName>
    <definedName name="PAT_VSBGTC_Sm">[2]BD_Cálculos!$FU$31</definedName>
    <definedName name="PAT_VSCBUQ_Sm" localSheetId="23">[1]BD_Cálculos!$FT$31</definedName>
    <definedName name="PAT_VSCBUQ_Sm">[2]BD_Cálculos!$FT$31</definedName>
    <definedName name="PATAVG_BGS_Sm">#REF! / 100</definedName>
    <definedName name="PATAVG_BGTC_Sm">#REF! / 100</definedName>
    <definedName name="PATAVG_CBUQ_Sm">#REF! / 100</definedName>
    <definedName name="Pax_Comecial_Doméstico_Conexão">'[6]Método Atual'!$J$3</definedName>
    <definedName name="Pax_Geral_Doméstico">'[6]Método Atual'!$J$5</definedName>
    <definedName name="Percentual_pintura_de_ligação" localSheetId="23">[1]BD!$U$102</definedName>
    <definedName name="Percentual_pintura_de_ligação">[2]BD!$U$102</definedName>
    <definedName name="Pista1">INDIRECT('[7]Resultados Finais'!$H$2)</definedName>
    <definedName name="Pista2">INDIRECT('[7]Resultados Finais'!$H$3)</definedName>
    <definedName name="Pista3">INDIRECT('[7]Resultados Finais'!$H$4)</definedName>
    <definedName name="PPD">"Grupo 268,Conector reto 4,Conector reto 3"</definedName>
    <definedName name="PPD_FIG_MUDAR">"Retângulo 61,PD_figura1"</definedName>
    <definedName name="PPD_Primária">"Retângulo 61,PD_figura1"</definedName>
    <definedName name="PPD_Principal">"Conector reto 14,Conector reto 13,Conector reto 12,Conector reto 11,Conector reto 10,Conector reto 6,Conector reto 9,Conector reto 8,Conector reto 3,Conector reto 7,Conector reto 4,Retângulo 5"</definedName>
    <definedName name="PPD1_AEXP_Sm" localSheetId="23">[1]BD_Cálculos!$EZ$13</definedName>
    <definedName name="PPD1_AEXP_Sm">[2]BD_Cálculos!$EZ$13</definedName>
    <definedName name="PPD1_AR_Man" localSheetId="23">'[1]2. Simulador - Manutenção'!$C$14</definedName>
    <definedName name="PPD1_AR_Man">'[2]2. Simulador - Manutenção'!$C$14</definedName>
    <definedName name="PPD1_AREF_Sm" localSheetId="23">[1]BD_Cálculos!$EY$13</definedName>
    <definedName name="PPD1_AREF_Sm">[2]BD_Cálculos!$EY$13</definedName>
    <definedName name="PPD1_AT_Sm" localSheetId="23">[1]BD_Cálculos!$G$35</definedName>
    <definedName name="PPD1_AT_Sm">[2]BD_Cálculos!$G$35</definedName>
    <definedName name="PPD1_BGS_Man" localSheetId="23">[1]BD_Cálculos!$I$156</definedName>
    <definedName name="PPD1_BGS_Man">[2]BD_Cálculos!$I$156</definedName>
    <definedName name="PPD1_BGS_Sm" localSheetId="23">[1]BD_Cálculos!$FA$19</definedName>
    <definedName name="PPD1_BGS_Sm">[2]BD_Cálculos!$FA$19</definedName>
    <definedName name="PPD1_BGTC_Man" localSheetId="23">[1]BD_Cálculos!$H$156</definedName>
    <definedName name="PPD1_BGTC_Man">[2]BD_Cálculos!$H$156</definedName>
    <definedName name="PPD1_BGTC_Sm" localSheetId="23">[1]BD_Cálculos!$EZ$19</definedName>
    <definedName name="PPD1_BGTC_Sm">[2]BD_Cálculos!$EZ$19</definedName>
    <definedName name="PPD1_CBUQ_Sm" localSheetId="23">[1]BD_Cálculos!$EY$19</definedName>
    <definedName name="PPD1_CBUQ_Sm">[2]BD_Cálculos!$EY$19</definedName>
    <definedName name="PPD1_CM_At" localSheetId="23">'[1]2. Simulador - Investimento'!$C$15</definedName>
    <definedName name="PPD1_CM_At">'[2]2. Simulador - Investimento'!$C$15</definedName>
    <definedName name="PPD1_CM_Dj" localSheetId="23">'[1]2. Simulador - Investimento'!$L$15</definedName>
    <definedName name="PPD1_CM_Dj">'[2]2. Simulador - Investimento'!$L$15</definedName>
    <definedName name="PPD1_CM_Sm" localSheetId="23">[1]BD_Cálculos!$G$16</definedName>
    <definedName name="PPD1_CM_Sm">[2]BD_Cálculos!$G$16</definedName>
    <definedName name="PPD1_CPS">#REF!</definedName>
    <definedName name="PPD1_CPS_At" localSheetId="23">'[1]2. Simulador - Investimento'!$C$17</definedName>
    <definedName name="PPD1_CPS_At">'[2]2. Simulador - Investimento'!$C$17</definedName>
    <definedName name="PPD1_CPS_Man" localSheetId="23">'[1]2. Simulador - Manutenção'!$C$15</definedName>
    <definedName name="PPD1_CPS_Man">'[2]2. Simulador - Manutenção'!$C$15</definedName>
    <definedName name="PPD1_CPS_Sm" localSheetId="23">[1]BD_Cálculos!$EY$22</definedName>
    <definedName name="PPD1_CPS_Sm">[2]BD_Cálculos!$EY$22</definedName>
    <definedName name="PPD1_IC_Man" localSheetId="23">'[1]2. Simulador - Manutenção'!$C$16</definedName>
    <definedName name="PPD1_IC_Man">'[2]2. Simulador - Manutenção'!$C$16</definedName>
    <definedName name="PPD1_LA_At" localSheetId="23">'[1]2. Simulador - Investimento'!$C$16</definedName>
    <definedName name="PPD1_LA_At">'[2]2. Simulador - Investimento'!$C$16</definedName>
    <definedName name="PPD1_LA_Dj" localSheetId="23">'[1]2. Simulador - Investimento'!$L$16</definedName>
    <definedName name="PPD1_LA_Dj">'[2]2. Simulador - Investimento'!$L$16</definedName>
    <definedName name="PPD1_LA_Sm" localSheetId="23">[1]BD_Cálculos!$H$16</definedName>
    <definedName name="PPD1_LA_Sm">[2]BD_Cálculos!$H$16</definedName>
    <definedName name="PPD1_MAN1" localSheetId="23">[1]BD_Cálculos!#REF!</definedName>
    <definedName name="PPD1_MAN1">[2]BD_Cálculos!#REF!</definedName>
    <definedName name="PPD1_MAN2" localSheetId="23">[1]BD_Cálculos!#REF!</definedName>
    <definedName name="PPD1_MAN2">[2]BD_Cálculos!#REF!</definedName>
    <definedName name="PPD1_MAN3" localSheetId="23">[1]BD_Cálculos!#REF!</definedName>
    <definedName name="PPD1_MAN3">[2]BD_Cálculos!#REF!</definedName>
    <definedName name="PPD1_MAN4" localSheetId="23">[1]BD_Cálculos!#REF!</definedName>
    <definedName name="PPD1_MAN4">[2]BD_Cálculos!#REF!</definedName>
    <definedName name="PPD1_MAN5" localSheetId="23">[1]BD_Cálculos!#REF!</definedName>
    <definedName name="PPD1_MAN5">[2]BD_Cálculos!#REF!</definedName>
    <definedName name="PPD1_TPOM_Man" localSheetId="23">'[1]2. Simulador - Manutenção'!$C$17</definedName>
    <definedName name="PPD1_TPOM_Man">'[2]2. Simulador - Manutenção'!$C$17</definedName>
    <definedName name="PPD2_AEXP_Sm" localSheetId="23">[1]BD_Cálculos!$FG$13</definedName>
    <definedName name="PPD2_AEXP_Sm">[2]BD_Cálculos!$FG$13</definedName>
    <definedName name="PPD2_AR_Man" localSheetId="23">'[1]2. Simulador - Manutenção'!$C$18</definedName>
    <definedName name="PPD2_AR_Man">'[2]2. Simulador - Manutenção'!$C$18</definedName>
    <definedName name="PPD2_AREF_Sm" localSheetId="23">[1]BD_Cálculos!$FF$13</definedName>
    <definedName name="PPD2_AREF_Sm">[2]BD_Cálculos!$FF$13</definedName>
    <definedName name="PPD2_AT_Sm" localSheetId="23">[1]BD_Cálculos!$H$35</definedName>
    <definedName name="PPD2_AT_Sm">[2]BD_Cálculos!$H$35</definedName>
    <definedName name="PPD2_BGS_Man">[8]BD_Cálculos!$I$179</definedName>
    <definedName name="PPD2_BGS_Sm" localSheetId="23">[1]BD_Cálculos!$FH$19</definedName>
    <definedName name="PPD2_BGS_Sm">[2]BD_Cálculos!$FH$19</definedName>
    <definedName name="PPD2_BGTC_Man">[8]BD_Cálculos!$H$179</definedName>
    <definedName name="PPD2_BGTC_Sm" localSheetId="23">[1]BD_Cálculos!$FG$19</definedName>
    <definedName name="PPD2_BGTC_Sm">[2]BD_Cálculos!$FG$19</definedName>
    <definedName name="PPD2_CBUQ_Man">[8]BD_Cálculos!$G$179</definedName>
    <definedName name="PPD2_CBUQ_Sm" localSheetId="23">[1]BD_Cálculos!$FF$19</definedName>
    <definedName name="PPD2_CBUQ_Sm">[2]BD_Cálculos!$FF$19</definedName>
    <definedName name="PPD2_CM_At" localSheetId="23">'[1]2. Simulador - Investimento'!$C$19</definedName>
    <definedName name="PPD2_CM_At">'[2]2. Simulador - Investimento'!$C$19</definedName>
    <definedName name="PPD2_CM_Dj" localSheetId="23">'[1]2. Simulador - Investimento'!$L$19</definedName>
    <definedName name="PPD2_CM_Dj">'[2]2. Simulador - Investimento'!$L$19</definedName>
    <definedName name="PPD2_CM_Sm" localSheetId="23">[1]BD_Cálculos!$Q$16</definedName>
    <definedName name="PPD2_CM_Sm">[2]BD_Cálculos!$Q$16</definedName>
    <definedName name="PPD2_CPS_At" localSheetId="23">'[1]2. Simulador - Investimento'!$C$21</definedName>
    <definedName name="PPD2_CPS_At">'[2]2. Simulador - Investimento'!$C$21</definedName>
    <definedName name="PPD2_CPS_Man" localSheetId="23">'[1]2. Simulador - Manutenção'!$C$19</definedName>
    <definedName name="PPD2_CPS_Man">'[2]2. Simulador - Manutenção'!$C$19</definedName>
    <definedName name="PPD2_CPS_Sm" localSheetId="23">[1]BD_Cálculos!$FF$22</definedName>
    <definedName name="PPD2_CPS_Sm">[2]BD_Cálculos!$FF$22</definedName>
    <definedName name="PPD2_IC_Man" localSheetId="23">'[1]2. Simulador - Manutenção'!$C$20</definedName>
    <definedName name="PPD2_IC_Man">'[2]2. Simulador - Manutenção'!$C$20</definedName>
    <definedName name="PPD2_LA_At" localSheetId="23">'[1]2. Simulador - Investimento'!$C$20</definedName>
    <definedName name="PPD2_LA_At">'[2]2. Simulador - Investimento'!$C$20</definedName>
    <definedName name="PPD2_LA_Dj" localSheetId="23">'[1]2. Simulador - Investimento'!$L$20</definedName>
    <definedName name="PPD2_LA_Dj">'[2]2. Simulador - Investimento'!$L$20</definedName>
    <definedName name="PPD2_LA_Sm" localSheetId="23">[1]BD_Cálculos!$R$16</definedName>
    <definedName name="PPD2_LA_Sm">[2]BD_Cálculos!$R$16</definedName>
    <definedName name="PPD2_MAN1" localSheetId="23">[1]BD_Cálculos!#REF!</definedName>
    <definedName name="PPD2_MAN1">[2]BD_Cálculos!#REF!</definedName>
    <definedName name="PPD2_MAN2" localSheetId="23">[1]BD_Cálculos!#REF!</definedName>
    <definedName name="PPD2_MAN2">[2]BD_Cálculos!#REF!</definedName>
    <definedName name="PPD2_MAN3" localSheetId="23">[1]BD_Cálculos!#REF!</definedName>
    <definedName name="PPD2_MAN3">[2]BD_Cálculos!#REF!</definedName>
    <definedName name="PPD2_MAN4" localSheetId="23">[1]BD_Cálculos!#REF!</definedName>
    <definedName name="PPD2_MAN4">[2]BD_Cálculos!#REF!</definedName>
    <definedName name="PPD2_MAN5" localSheetId="23">[1]BD_Cálculos!#REF!</definedName>
    <definedName name="PPD2_MAN5">[2]BD_Cálculos!#REF!</definedName>
    <definedName name="PPD2_QT_At" localSheetId="23">'[1]2. Simulador - Investimento'!$C$18</definedName>
    <definedName name="PPD2_QT_At">'[2]2. Simulador - Investimento'!$C$18</definedName>
    <definedName name="PPD2_QT_Dj" localSheetId="23">'[1]2. Simulador - Investimento'!$L$18</definedName>
    <definedName name="PPD2_QT_Dj">'[2]2. Simulador - Investimento'!$L$18</definedName>
    <definedName name="PPD2_QT_Sm" localSheetId="23">[1]BD_Cálculos!$I$30</definedName>
    <definedName name="PPD2_QT_Sm">[2]BD_Cálculos!$I$30</definedName>
    <definedName name="PPD2_TPOM_Man" localSheetId="23">'[1]2. Simulador - Manutenção'!$C$21</definedName>
    <definedName name="PPD2_TPOM_Man">'[2]2. Simulador - Manutenção'!$C$21</definedName>
    <definedName name="ppp" localSheetId="23" hidden="1">{#N/A,#N/A,FALSE,"Capacity"}</definedName>
    <definedName name="ppp" hidden="1">{#N/A,#N/A,FALSE,"Capacity"}</definedName>
    <definedName name="Print_CSC_Report_2" localSheetId="23" hidden="1">{"CSC_1",#N/A,FALSE,"CSC Outputs";"CSC_2",#N/A,FALSE,"CSC Outputs"}</definedName>
    <definedName name="Print_CSC_Report_2" hidden="1">{"CSC_1",#N/A,FALSE,"CSC Outputs";"CSC_2",#N/A,FALSE,"CSC Outputs"}</definedName>
    <definedName name="PTR_AEXP_Sm" localSheetId="23">[1]BD_Cálculos!$FN$13</definedName>
    <definedName name="PTR_AEXP_Sm">[2]BD_Cálculos!$FN$13</definedName>
    <definedName name="PTR_AEXPFXP_Sm" localSheetId="23">[1]BD_Cálculos!$BF$24</definedName>
    <definedName name="PTR_AEXPFXP_Sm">[2]BD_Cálculos!$BF$24</definedName>
    <definedName name="PTR_AR_At" localSheetId="23">'[1]2. Simulador - Investimento'!$C$38</definedName>
    <definedName name="PTR_AR_At">'[2]2. Simulador - Investimento'!$C$38</definedName>
    <definedName name="PTR_AR_Dj" localSheetId="23">'[1]2. Simulador - Investimento'!$L$38</definedName>
    <definedName name="PTR_AR_Dj">'[2]2. Simulador - Investimento'!$L$38</definedName>
    <definedName name="PTR_AR_Man" localSheetId="23">'[1]2. Simulador - Manutenção'!$C$24</definedName>
    <definedName name="PTR_AR_Man">'[2]2. Simulador - Manutenção'!$C$24</definedName>
    <definedName name="PTR_AREF_Sm" localSheetId="23">[1]BD_Cálculos!$FM$13</definedName>
    <definedName name="PTR_AREF_Sm">[2]BD_Cálculos!$FM$13</definedName>
    <definedName name="PTR_ARMAX_Sm" localSheetId="23">[1]BD_Cálculos!$CD$19</definedName>
    <definedName name="PTR_ARMAX_Sm">[2]BD_Cálculos!$CD$19</definedName>
    <definedName name="PTR_ARMIN_Sm" localSheetId="23">[1]BD_Cálculos!$CC$19</definedName>
    <definedName name="PTR_ARMIN_Sm">[2]BD_Cálculos!$CC$19</definedName>
    <definedName name="PTR_BGS_Man" localSheetId="23">[1]BD_Cálculos!$P$156</definedName>
    <definedName name="PTR_BGS_Man">[2]BD_Cálculos!$P$156</definedName>
    <definedName name="PTR_BGS_Sm" localSheetId="23">[1]BD_Cálculos!$FO$19</definedName>
    <definedName name="PTR_BGS_Sm">[2]BD_Cálculos!$FO$19</definedName>
    <definedName name="PTR_BGTC_Man" localSheetId="23">[1]BD_Cálculos!$O$156</definedName>
    <definedName name="PTR_BGTC_Man">[2]BD_Cálculos!$O$156</definedName>
    <definedName name="PTR_BGTC_Sm" localSheetId="23">[1]BD_Cálculos!$FN$19</definedName>
    <definedName name="PTR_BGTC_Sm">[2]BD_Cálculos!$FN$19</definedName>
    <definedName name="PTR_CBUQ_Sm" localSheetId="23">[1]BD_Cálculos!$FM$19</definedName>
    <definedName name="PTR_CBUQ_Sm">[2]BD_Cálculos!$FM$19</definedName>
    <definedName name="PTR_CMOB_Sm" localSheetId="23">[1]BD_Cálculos!$CF$16</definedName>
    <definedName name="PTR_CMOB_Sm">[2]BD_Cálculos!$CF$16</definedName>
    <definedName name="PTR_CPS_At" localSheetId="23">'[1]2. Simulador - Investimento'!$C$39</definedName>
    <definedName name="PTR_CPS_At">'[2]2. Simulador - Investimento'!$C$39</definedName>
    <definedName name="PTR_CPS_Man" localSheetId="23">'[1]2. Simulador - Manutenção'!$C$25</definedName>
    <definedName name="PTR_CPS_Man">'[2]2. Simulador - Manutenção'!$C$25</definedName>
    <definedName name="PTR_CPS_Sm" localSheetId="23">[1]BD_Cálculos!$FM$22</definedName>
    <definedName name="PTR_CPS_Sm">[2]BD_Cálculos!$FM$22</definedName>
    <definedName name="PTR_IC_Man" localSheetId="23">'[1]2. Simulador - Manutenção'!$C$26</definedName>
    <definedName name="PTR_IC_Man">'[2]2. Simulador - Manutenção'!$C$26</definedName>
    <definedName name="PTR_LA_At">[5]BD_Cálculos!$CG$10</definedName>
    <definedName name="PTR_LA_Sm" localSheetId="23">[1]BD_Cálculos!$CI$16</definedName>
    <definedName name="PTR_LA_Sm">[2]BD_Cálculos!$CI$16</definedName>
    <definedName name="PTR_MAN1" localSheetId="23">[1]BD_Cálculos!#REF!</definedName>
    <definedName name="PTR_MAN1">[2]BD_Cálculos!#REF!</definedName>
    <definedName name="PTR_MAN2" localSheetId="23">[1]BD_Cálculos!#REF!</definedName>
    <definedName name="PTR_MAN2">[2]BD_Cálculos!#REF!</definedName>
    <definedName name="PTR_MAN3" localSheetId="23">[1]BD_Cálculos!#REF!</definedName>
    <definedName name="PTR_MAN3">[2]BD_Cálculos!#REF!</definedName>
    <definedName name="PTR_MAN4" localSheetId="23">[1]BD_Cálculos!#REF!</definedName>
    <definedName name="PTR_MAN4">[2]BD_Cálculos!#REF!</definedName>
    <definedName name="PTR_MAN5" localSheetId="23">[1]BD_Cálculos!#REF!</definedName>
    <definedName name="PTR_MAN5">[2]BD_Cálculos!#REF!</definedName>
    <definedName name="PTR_TP_At" localSheetId="23">'[1]2. Simulador - Investimento'!$C$37</definedName>
    <definedName name="PTR_TP_At">'[2]2. Simulador - Investimento'!$C$37</definedName>
    <definedName name="PTR_TP_Dj" localSheetId="23">'[1]2. Simulador - Investimento'!$L$37</definedName>
    <definedName name="PTR_TP_Dj">'[2]2. Simulador - Investimento'!$L$37</definedName>
    <definedName name="PTR_TP_Sm" localSheetId="23">[1]BD_Cálculos!$CH$13</definedName>
    <definedName name="PTR_TP_Sm">[2]BD_Cálculos!$CH$13</definedName>
    <definedName name="PTR_TPOM_Man" localSheetId="23">'[1]2. Simulador - Manutenção'!$C$27</definedName>
    <definedName name="PTR_TPOM_Man">'[2]2. Simulador - Manutenção'!$C$27</definedName>
    <definedName name="PTRO_CM_Sm" localSheetId="23">[1]BD_Cálculos!$CC$16</definedName>
    <definedName name="PTRO_CM_Sm">[2]BD_Cálculos!$CC$16</definedName>
    <definedName name="PTRP_CPL_Sm" localSheetId="23">[1]BD_Cálculos!$CH$16</definedName>
    <definedName name="PTRP_CPL_Sm">[2]BD_Cálculos!$CH$16</definedName>
    <definedName name="qqq" localSheetId="23" hidden="1">{#N/A,#N/A,FALSE,"Capacity"}</definedName>
    <definedName name="qqq" hidden="1">{#N/A,#N/A,FALSE,"Capacity"}</definedName>
    <definedName name="Receita" localSheetId="23">'[3]2. Simulador'!$E$278</definedName>
    <definedName name="Receita">'[4]2. Simulador'!$E$278</definedName>
    <definedName name="RedefinePrintTableRange" hidden="1">#N/A</definedName>
    <definedName name="RESA1_AEXP_Sm">[5]BD_Cálculos!$BW$29</definedName>
    <definedName name="RESA1_AT_At" localSheetId="23">[1]BD_Cálculos!$BP$29</definedName>
    <definedName name="RESA1_AT_At">[2]BD_Cálculos!$BP$29</definedName>
    <definedName name="RESA1_AT_Sm" localSheetId="23">[1]BD_Cálculos!$BQ$29</definedName>
    <definedName name="RESA1_AT_Sm">[2]BD_Cálculos!$BQ$29</definedName>
    <definedName name="RESA1_CM_At" localSheetId="23">'[1]2. Simulador - Investimento'!$C$30</definedName>
    <definedName name="RESA1_CM_At">'[2]2. Simulador - Investimento'!$C$30</definedName>
    <definedName name="RESA1_CM_Dj" localSheetId="23">'[1]2. Simulador - Investimento'!$L$30</definedName>
    <definedName name="RESA1_CM_Dj">'[2]2. Simulador - Investimento'!$L$30</definedName>
    <definedName name="RESA1_CM_Sm" localSheetId="23">[1]BD_Cálculos!$BP$24</definedName>
    <definedName name="RESA1_CM_Sm">[2]BD_Cálculos!$BP$24</definedName>
    <definedName name="RESA1_LA_At" localSheetId="23">'[1]2. Simulador - Investimento'!$C$31</definedName>
    <definedName name="RESA1_LA_At">'[2]2. Simulador - Investimento'!$C$31</definedName>
    <definedName name="RESA1_LA_Dj" localSheetId="23">'[1]2. Simulador - Investimento'!$L$31</definedName>
    <definedName name="RESA1_LA_Dj">'[2]2. Simulador - Investimento'!$L$31</definedName>
    <definedName name="RESA1_LA_Sm" localSheetId="23">[1]BD_Cálculos!$BQ$24</definedName>
    <definedName name="RESA1_LA_Sm">[2]BD_Cálculos!$BQ$24</definedName>
    <definedName name="RESA2_AEXP_Sm">[5]BD_Cálculos!$BX$29</definedName>
    <definedName name="RESA2_AT_At" localSheetId="23">[1]BD_Cálculos!$BS$29</definedName>
    <definedName name="RESA2_AT_At">[2]BD_Cálculos!$BS$29</definedName>
    <definedName name="RESA2_AT_Sm" localSheetId="23">[1]BD_Cálculos!$BT$29</definedName>
    <definedName name="RESA2_AT_Sm">[2]BD_Cálculos!$BT$29</definedName>
    <definedName name="RESA2_CM_At" localSheetId="23">'[1]2. Simulador - Investimento'!$C$32</definedName>
    <definedName name="RESA2_CM_At">'[2]2. Simulador - Investimento'!$C$32</definedName>
    <definedName name="RESA2_CM_Dj" localSheetId="23">'[1]2. Simulador - Investimento'!$L$32</definedName>
    <definedName name="RESA2_CM_Dj">'[2]2. Simulador - Investimento'!$L$32</definedName>
    <definedName name="RESA2_CM_Sm" localSheetId="23">[1]BD_Cálculos!$BW$24</definedName>
    <definedName name="RESA2_CM_Sm">[2]BD_Cálculos!$BW$24</definedName>
    <definedName name="RESA2_LA_At" localSheetId="23">'[1]2. Simulador - Investimento'!$C$33</definedName>
    <definedName name="RESA2_LA_At">'[2]2. Simulador - Investimento'!$C$33</definedName>
    <definedName name="RESA2_LA_Dj" localSheetId="23">'[1]2. Simulador - Investimento'!$L$33</definedName>
    <definedName name="RESA2_LA_Dj">'[2]2. Simulador - Investimento'!$L$33</definedName>
    <definedName name="RESA2_LA_Sm" localSheetId="23">[1]BD_Cálculos!$BX$24</definedName>
    <definedName name="RESA2_LA_Sm">[2]BD_Cálculos!$BX$24</definedName>
    <definedName name="rrr" localSheetId="23" hidden="1">{#N/A,#N/A,FALSE,"Revenue (Annual)";"Revenue _ First 5 years Quarterly",#N/A,FALSE,"Revenue (Qtr)"}</definedName>
    <definedName name="rrr" hidden="1">{#N/A,#N/A,FALSE,"Revenue (Annual)";"Revenue _ First 5 years Quarterly",#N/A,FALSE,"Revenue (Qtr)"}</definedName>
    <definedName name="sdf" localSheetId="23" hidden="1">{#N/A,#N/A,FALSE,"Contribution Analysis"}</definedName>
    <definedName name="sdf" hidden="1">{#N/A,#N/A,FALSE,"Contribution Analysis"}</definedName>
    <definedName name="sencount" hidden="1">1</definedName>
    <definedName name="SESC_AR_At" localSheetId="23">'[1]2. Simulador - Investimento'!$C$49</definedName>
    <definedName name="SESC_AR_At">'[2]2. Simulador - Investimento'!$C$49</definedName>
    <definedName name="SESC_AR_Dj" localSheetId="23">'[1]2. Simulador - Investimento'!$L$49</definedName>
    <definedName name="SESC_AR_Dj">'[2]2. Simulador - Investimento'!$L$49</definedName>
    <definedName name="SESC_AR_Man" localSheetId="23">'[1]2. Simulador - Manutenção'!$C$45</definedName>
    <definedName name="SESC_AR_Man">'[2]2. Simulador - Manutenção'!$C$45</definedName>
    <definedName name="SESC_AR_Sm" localSheetId="23">[1]BD_Cálculos!$GH$18</definedName>
    <definedName name="SESC_AR_Sm">[2]BD_Cálculos!$GH$18</definedName>
    <definedName name="SESC_CAT_Sm" localSheetId="23">[1]BD_Cálculos!$GH$13</definedName>
    <definedName name="SESC_CAT_Sm">[2]BD_Cálculos!$GH$13</definedName>
    <definedName name="SESC_CCI_At" localSheetId="23">'[1]2. Simulador - Investimento'!$C$50</definedName>
    <definedName name="SESC_CCI_At">'[2]2. Simulador - Investimento'!$C$50</definedName>
    <definedName name="SESC_CCI_Dj" localSheetId="23">'[1]2. Simulador - Investimento'!$L$50</definedName>
    <definedName name="SESC_CCI_Dj">'[2]2. Simulador - Investimento'!$L$50</definedName>
    <definedName name="SESC_CCI_Sm" localSheetId="23">[1]BD_Cálculos!$GI$18</definedName>
    <definedName name="SESC_CCI_Sm">[2]BD_Cálculos!$GI$18</definedName>
    <definedName name="SESC_IC_Man" localSheetId="23">'[1]2. Simulador - Manutenção'!$C$46</definedName>
    <definedName name="SESC_IC_Man">'[2]2. Simulador - Manutenção'!$C$46</definedName>
    <definedName name="SESC_MAN1" localSheetId="23">[1]BD_Cálculos!#REF!</definedName>
    <definedName name="SESC_MAN1">[2]BD_Cálculos!#REF!</definedName>
    <definedName name="SESC_MAN2" localSheetId="23">[1]BD_Cálculos!#REF!</definedName>
    <definedName name="SESC_MAN2">[2]BD_Cálculos!#REF!</definedName>
    <definedName name="SESC_MAN3" localSheetId="23">[1]BD_Cálculos!#REF!</definedName>
    <definedName name="SESC_MAN3">[2]BD_Cálculos!#REF!</definedName>
    <definedName name="SESC_MAN4" localSheetId="23">[1]BD_Cálculos!#REF!</definedName>
    <definedName name="SESC_MAN4">[2]BD_Cálculos!#REF!</definedName>
    <definedName name="SESC_MAN5" localSheetId="23">[1]BD_Cálculos!#REF!</definedName>
    <definedName name="SESC_MAN5">[2]BD_Cálculos!#REF!</definedName>
    <definedName name="SESC_TPOM_Man" localSheetId="23">'[1]2. Simulador - Manutenção'!$C$47</definedName>
    <definedName name="SESC_TPOM_Man">'[2]2. Simulador - Manutenção'!$C$47</definedName>
    <definedName name="sfdg" localSheetId="23" hidden="1">{#N/A,#N/A,FALSE,"A&amp;E";#N/A,#N/A,FALSE,"HighTop";#N/A,#N/A,FALSE,"JG";#N/A,#N/A,FALSE,"RI";#N/A,#N/A,FALSE,"woHT";#N/A,#N/A,FALSE,"woHT&amp;JG"}</definedName>
    <definedName name="sfdg" hidden="1">{#N/A,#N/A,FALSE,"A&amp;E";#N/A,#N/A,FALSE,"HighTop";#N/A,#N/A,FALSE,"JG";#N/A,#N/A,FALSE,"RI";#N/A,#N/A,FALSE,"woHT";#N/A,#N/A,FALSE,"woHT&amp;JG"}</definedName>
    <definedName name="sk" localSheetId="23" hidden="1">{#N/A,#N/A,FALSE,"A&amp;E";#N/A,#N/A,FALSE,"HighTop";#N/A,#N/A,FALSE,"JG";#N/A,#N/A,FALSE,"RI";#N/A,#N/A,FALSE,"woHT";#N/A,#N/A,FALSE,"woHT&amp;JG"}</definedName>
    <definedName name="sk" hidden="1">{#N/A,#N/A,FALSE,"A&amp;E";#N/A,#N/A,FALSE,"HighTop";#N/A,#N/A,FALSE,"JG";#N/A,#N/A,FALSE,"RI";#N/A,#N/A,FALSE,"woHT";#N/A,#N/A,FALSE,"woHT&amp;JG"}</definedName>
    <definedName name="ssss2" localSheetId="23" hidden="1">{#N/A,#N/A,FALSE,"Revenue (Annual)";"Revenue _ First 5 years Quarterly",#N/A,FALSE,"Revenue (Qtr)"}</definedName>
    <definedName name="ssss2" hidden="1">{#N/A,#N/A,FALSE,"Revenue (Annual)";"Revenue _ First 5 years Quarterly",#N/A,FALSE,"Revenue (Qtr)"}</definedName>
    <definedName name="TAB_AD_ICMS" localSheetId="23">'[1]1.1 Atualização de Dados'!$B$5:$C$31</definedName>
    <definedName name="TAB_AD_ICMS">'[2]1.1 Atualização de Dados'!$B$5:$C$31</definedName>
    <definedName name="TAB_BD_DAC" localSheetId="23">[1]BD!$AD$5:$AT$32</definedName>
    <definedName name="TAB_BD_DAC">[2]BD!$AD$5:$AT$32</definedName>
    <definedName name="TAB_BD_MPPAT">[5]BD!$DH$5:$DL$9</definedName>
    <definedName name="TAB_BD_PCI" localSheetId="23">[1]BD!$M$148:$S$154</definedName>
    <definedName name="TAB_BD_PCI">[2]BD!$M$148:$S$154</definedName>
    <definedName name="TAB_BD_PPD" localSheetId="23">[1]BD!$M$6:$S$33</definedName>
    <definedName name="TAB_BD_PPD">[2]BD!$M$6:$S$33</definedName>
    <definedName name="TAB_BD_PSESCINC" localSheetId="23">[1]BD!$Q$108:$R$112</definedName>
    <definedName name="TAB_BD_PSESCINC">[2]BD!$Q$108:$R$112</definedName>
    <definedName name="TAB_BD_PTPS" localSheetId="23">[1]BD!$M$108:$N$112</definedName>
    <definedName name="TAB_BD_PTPS">[2]BD!$M$108:$N$112</definedName>
    <definedName name="TAB_BD_UF" localSheetId="23">[1]BD!$AM$91:$AO$117</definedName>
    <definedName name="TAB_BD_UF">[2]BD!$AM$91:$AO$117</definedName>
    <definedName name="TAB_CC_CAPESO" localSheetId="23">[1]BD!$IP$5:$IP$49</definedName>
    <definedName name="TAB_CC_CAPESO">[2]BD!$IP$5:$IP$49</definedName>
    <definedName name="TAB_CC_IL" localSheetId="23">'[1]Classificação Cenários'!$Z$5:$AH$7</definedName>
    <definedName name="TAB_CC_IL">'[2]Classificação Cenários'!$Z$5:$AH$7</definedName>
    <definedName name="TAB_CC_NAV" localSheetId="23">'[1]Classificação Cenários'!$Q$6:$X$11</definedName>
    <definedName name="TAB_CC_NAV">'[2]Classificação Cenários'!$Q$6:$X$11</definedName>
    <definedName name="Tabela_Mix" localSheetId="23">'[3]2. Simulador'!#REF!</definedName>
    <definedName name="Tabela_Mix">'[4]2. Simulador'!#REF!</definedName>
    <definedName name="Tax" localSheetId="23" hidden="1">{#N/A,#N/A,FALSE,"Variables";#N/A,#N/A,FALSE,"NPV Cashflows NZ$";#N/A,#N/A,FALSE,"Cashflows NZ$"}</definedName>
    <definedName name="Tax" hidden="1">{#N/A,#N/A,FALSE,"Variables";#N/A,#N/A,FALSE,"NPV Cashflows NZ$";#N/A,#N/A,FALSE,"Cashflows NZ$"}</definedName>
    <definedName name="TECA_AAR_At" localSheetId="23">'[1]2. Simulador - Investimento'!$C$87</definedName>
    <definedName name="TECA_AAR_At">'[2]2. Simulador - Investimento'!$C$87</definedName>
    <definedName name="TECA_AAR_Dj" localSheetId="23">'[1]2. Simulador - Investimento'!$L$87</definedName>
    <definedName name="TECA_AAR_Dj">'[2]2. Simulador - Investimento'!$L$87</definedName>
    <definedName name="TECA_AARMAX_Sm" localSheetId="23">[1]BD_Cálculos!$AM$53</definedName>
    <definedName name="TECA_AARMAX_Sm">[2]BD_Cálculos!$AM$53</definedName>
    <definedName name="TECA_AARMIN_Sm" localSheetId="23">[1]BD_Cálculos!$AL$53</definedName>
    <definedName name="TECA_AARMIN_Sm">[2]BD_Cálculos!$AL$53</definedName>
    <definedName name="TECA_AER_At" localSheetId="23">'[1]2. Simulador - Investimento'!$C$89</definedName>
    <definedName name="TECA_AER_At">'[2]2. Simulador - Investimento'!$C$89</definedName>
    <definedName name="TECA_AER_Dj" localSheetId="23">'[1]2. Simulador - Investimento'!$L$89</definedName>
    <definedName name="TECA_AER_Dj">'[2]2. Simulador - Investimento'!$L$89</definedName>
    <definedName name="TECA_AERMAX_Sm" localSheetId="23">[1]BD_Cálculos!$AQ$53</definedName>
    <definedName name="TECA_AERMAX_Sm">[2]BD_Cálculos!$AQ$53</definedName>
    <definedName name="TECA_AERMIN_Sm" localSheetId="23">[1]BD_Cálculos!$AP$53</definedName>
    <definedName name="TECA_AERMIN_Sm">[2]BD_Cálculos!$AP$53</definedName>
    <definedName name="TECA_APT_At" localSheetId="23">'[1]2. Simulador - Investimento'!$C$88</definedName>
    <definedName name="TECA_APT_At">'[2]2. Simulador - Investimento'!$C$88</definedName>
    <definedName name="TECA_APT_Dj" localSheetId="23">'[1]2. Simulador - Investimento'!$L$88</definedName>
    <definedName name="TECA_APT_Dj">'[2]2. Simulador - Investimento'!$L$88</definedName>
    <definedName name="TECA_APTEXP_Sm" localSheetId="23">[1]BD_Cálculos!$GB$13</definedName>
    <definedName name="TECA_APTEXP_Sm">[2]BD_Cálculos!$GB$13</definedName>
    <definedName name="TECA_APTMAX_Sm" localSheetId="23">[1]BD_Cálculos!$AO$53</definedName>
    <definedName name="TECA_APTMAX_Sm">[2]BD_Cálculos!$AO$53</definedName>
    <definedName name="TECA_APTMIN_Sm" localSheetId="23">[1]BD_Cálculos!$AN$53</definedName>
    <definedName name="TECA_APTMIN_Sm">[2]BD_Cálculos!$AN$53</definedName>
    <definedName name="TECA_APTREF_Sm" localSheetId="23">[1]BD_Cálculos!$GA$13</definedName>
    <definedName name="TECA_APTREF_Sm">[2]BD_Cálculos!$GA$13</definedName>
    <definedName name="TECA_BGS_Sm" localSheetId="23">[1]BD_Cálculos!$GC$19</definedName>
    <definedName name="TECA_BGS_Sm">[2]BD_Cálculos!$GC$19</definedName>
    <definedName name="TECA_CCR_Sm" localSheetId="23">[1]BD_Cálculos!$GB$19</definedName>
    <definedName name="TECA_CCR_Sm">[2]BD_Cálculos!$GB$19</definedName>
    <definedName name="TECA_COND_At" localSheetId="23">'[1]2. Simulador - Investimento'!$C$86</definedName>
    <definedName name="TECA_COND_At">'[2]2. Simulador - Investimento'!$C$86</definedName>
    <definedName name="TECA_COND_Dj" localSheetId="23">'[1]2. Simulador - Investimento'!$L$86</definedName>
    <definedName name="TECA_COND_Dj">'[2]2. Simulador - Investimento'!$L$86</definedName>
    <definedName name="TECA_CPS_At" localSheetId="23">'[1]2. Simulador - Investimento'!$C$91</definedName>
    <definedName name="TECA_CPS_At">'[2]2. Simulador - Investimento'!$C$91</definedName>
    <definedName name="TECA_CPS_Sm" localSheetId="23">[1]BD_Cálculos!$GA$22</definedName>
    <definedName name="TECA_CPS_Sm">[2]BD_Cálculos!$GA$22</definedName>
    <definedName name="TECA_MEC_At" localSheetId="23">'[1]2. Simulador - Investimento'!$C$90</definedName>
    <definedName name="TECA_MEC_At">'[2]2. Simulador - Investimento'!$C$90</definedName>
    <definedName name="TPS_AR_At" localSheetId="23">'[1]2. Simulador - Investimento'!$C$54</definedName>
    <definedName name="TPS_AR_At">'[2]2. Simulador - Investimento'!$C$54</definedName>
    <definedName name="TPS_AR_Dj" localSheetId="23">'[1]2. Simulador - Investimento'!$L$54</definedName>
    <definedName name="TPS_AR_Dj">'[2]2. Simulador - Investimento'!$L$54</definedName>
    <definedName name="TPS_AR_Man" localSheetId="23">'[1]2. Simulador - Manutenção'!$C$36</definedName>
    <definedName name="TPS_AR_Man">'[2]2. Simulador - Manutenção'!$C$36</definedName>
    <definedName name="TPS_ARMAX_Sm" localSheetId="23">[1]BD_Cálculos!$I$59</definedName>
    <definedName name="TPS_ARMAX_Sm">[2]BD_Cálculos!$I$59</definedName>
    <definedName name="TPS_ARMIN_Sm" localSheetId="23">[1]BD_Cálculos!$H$59</definedName>
    <definedName name="TPS_ARMIN_Sm">[2]BD_Cálculos!$H$59</definedName>
    <definedName name="TPS_EXP_Dj" localSheetId="23">'[1]2. Simulador - Investimento'!$L$55</definedName>
    <definedName name="TPS_EXP_Dj">'[2]2. Simulador - Investimento'!$L$55</definedName>
    <definedName name="TPS_MAN1" localSheetId="23">[1]BD_Cálculos!#REF!</definedName>
    <definedName name="TPS_MAN1">[2]BD_Cálculos!#REF!</definedName>
    <definedName name="TPS_REF_Man" localSheetId="23">'[1]2. Simulador - Manutenção'!$C$37</definedName>
    <definedName name="TPS_REF_Man">'[2]2. Simulador - Manutenção'!$C$37</definedName>
    <definedName name="VOL_ATERRO_FXPP1" localSheetId="23">[1]BD_Cálculos!$AF$120</definedName>
    <definedName name="VOL_ATERRO_FXPP1">[2]BD_Cálculos!$AF$120</definedName>
    <definedName name="VOL_ATERRO_FXPP2" localSheetId="23">[1]BD_Cálculos!$AF$125</definedName>
    <definedName name="VOL_ATERRO_FXPP2">[2]BD_Cálculos!$AF$125</definedName>
    <definedName name="VOL_ATERRO_PAT" localSheetId="23">[1]BD_Cálculos!$AF$129</definedName>
    <definedName name="VOL_ATERRO_PAT">[2]BD_Cálculos!$AF$129</definedName>
    <definedName name="VOL_ATERRO_PAT_AVG">[5]BD_Cálculos!$AF$132</definedName>
    <definedName name="VOL_ATERRO_PPD1" localSheetId="23">[1]BD_Cálculos!$AF$119</definedName>
    <definedName name="VOL_ATERRO_PPD1">[2]BD_Cálculos!$AF$119</definedName>
    <definedName name="VOL_ATERRO_PPD2" localSheetId="23">[1]BD_Cálculos!$AF$124</definedName>
    <definedName name="VOL_ATERRO_PPD2">[2]BD_Cálculos!$AF$124</definedName>
    <definedName name="VOL_ATERRO_RESA1" localSheetId="23">[1]BD_Cálculos!$AF$123</definedName>
    <definedName name="VOL_ATERRO_RESA1">[2]BD_Cálculos!$AF$123</definedName>
    <definedName name="VOL_ATERRO_RESA2" localSheetId="23">[1]BD_Cálculos!$AF$127</definedName>
    <definedName name="VOL_ATERRO_RESA2">[2]BD_Cálculos!$AF$127</definedName>
    <definedName name="VOL_ATERRO_SESC" localSheetId="23">[1]BD_Cálculos!$AF$131</definedName>
    <definedName name="VOL_ATERRO_SESC">[2]BD_Cálculos!$AF$131</definedName>
    <definedName name="VOL_ATERRO_TECAPat" localSheetId="23">[1]BD_Cálculos!$AF$130</definedName>
    <definedName name="VOL_ATERRO_TECAPat">[2]BD_Cálculos!$AF$130</definedName>
    <definedName name="VOL_CORTE_FXPP1" localSheetId="23">[1]BD_Cálculos!$AE$120</definedName>
    <definedName name="VOL_CORTE_FXPP1">[2]BD_Cálculos!$AE$120</definedName>
    <definedName name="VOL_CORTE_FXPP2" localSheetId="23">[1]BD_Cálculos!$AE$125</definedName>
    <definedName name="VOL_CORTE_FXPP2">[2]BD_Cálculos!$AE$125</definedName>
    <definedName name="VOL_CORTE_PAT" localSheetId="23">[1]BD_Cálculos!$AE$129</definedName>
    <definedName name="VOL_CORTE_PAT">[2]BD_Cálculos!$AE$129</definedName>
    <definedName name="VOL_CORTE_PAT_AVG">[5]BD_Cálculos!$AE$132</definedName>
    <definedName name="VOL_CORTE_PATPTR">[5]BD_Cálculos!$AE$130</definedName>
    <definedName name="VOL_CORTE_PPD1" localSheetId="23">[1]BD_Cálculos!$AE$119</definedName>
    <definedName name="VOL_CORTE_PPD1">[2]BD_Cálculos!$AE$119</definedName>
    <definedName name="VOL_CORTE_PPD2" localSheetId="23">[1]BD_Cálculos!$AE$124</definedName>
    <definedName name="VOL_CORTE_PPD2">[2]BD_Cálculos!$AE$124</definedName>
    <definedName name="VOL_CORTE_PTR" localSheetId="23">[1]BD_Cálculos!$AE$128</definedName>
    <definedName name="VOL_CORTE_PTR">[2]BD_Cálculos!$AE$128</definedName>
    <definedName name="VOL_CORTE_RESA1" localSheetId="23">[1]BD_Cálculos!$AE$123</definedName>
    <definedName name="VOL_CORTE_RESA1">[2]BD_Cálculos!$AE$123</definedName>
    <definedName name="VOL_CORTE_RESA2" localSheetId="23">[1]BD_Cálculos!$AE$127</definedName>
    <definedName name="VOL_CORTE_RESA2">[2]BD_Cálculos!$AE$127</definedName>
    <definedName name="VOL_CORTE_SESC" localSheetId="23">[1]BD_Cálculos!$AE$131</definedName>
    <definedName name="VOL_CORTE_SESC">[2]BD_Cálculos!$AE$131</definedName>
    <definedName name="VOL_CORTE_TECAPat" localSheetId="23">[1]BD_Cálculos!$AE$130</definedName>
    <definedName name="VOL_CORTE_TECAPat">[2]BD_Cálculos!$AE$130</definedName>
    <definedName name="woodflow" localSheetId="23" hidden="1">{#N/A,#N/A,FALSE,"Variables";#N/A,#N/A,FALSE,"NPV Cashflows NZ$";#N/A,#N/A,FALSE,"Cashflows NZ$"}</definedName>
    <definedName name="woodflow" hidden="1">{#N/A,#N/A,FALSE,"Variables";#N/A,#N/A,FALSE,"NPV Cashflows NZ$";#N/A,#N/A,FALSE,"Cashflows NZ$"}</definedName>
    <definedName name="wrn.ALL." localSheetId="23" hidden="1">{#N/A,#N/A,FALSE,"Summary";#N/A,#N/A,FALSE,"Inc Statemt. (2)";#N/A,#N/A,FALSE,"AVP";#N/A,#N/A,FALSE,"Contribution";#N/A,#N/A,FALSE,"DCF_sens_variance";#N/A,#N/A,FALSE,"DCF_GS_NP";#N/A,#N/A,FALSE,"MP";#N/A,#N/A,FALSE,"Sheet1"}</definedName>
    <definedName name="wrn.ALL." hidden="1">{#N/A,#N/A,FALSE,"Summary";#N/A,#N/A,FALSE,"Inc Statemt. (2)";#N/A,#N/A,FALSE,"AVP";#N/A,#N/A,FALSE,"Contribution";#N/A,#N/A,FALSE,"DCF_sens_variance";#N/A,#N/A,FALSE,"DCF_GS_NP";#N/A,#N/A,FALSE,"MP";#N/A,#N/A,FALSE,"Sheet1"}</definedName>
    <definedName name="wrn.All._.Pages." localSheetId="2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heets." localSheetId="23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Cactus._.01." localSheetId="23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pacity." localSheetId="23" hidden="1">{#N/A,#N/A,FALSE,"Capacity"}</definedName>
    <definedName name="wrn.Capacity." hidden="1">{#N/A,#N/A,FALSE,"Capacity"}</definedName>
    <definedName name="wrn.CAPEX." localSheetId="23" hidden="1">{"capex_annual",#N/A,TRUE,"CAPEX";"capex_monthly",#N/A,TRUE,"CAPEX"}</definedName>
    <definedName name="wrn.CAPEX." hidden="1">{"capex_annual",#N/A,TRUE,"CAPEX";"capex_monthly",#N/A,TRUE,"CAPEX"}</definedName>
    <definedName name="wrn.Cashflow._.Summary." localSheetId="23" hidden="1">{#N/A,#N/A,FALSE,"Cashflow"}</definedName>
    <definedName name="wrn.Cashflow._.Summary." hidden="1">{#N/A,#N/A,FALSE,"Cashflow"}</definedName>
    <definedName name="wrn.Cider." localSheetId="23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onsolidated._.Set." localSheetId="23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SC2" localSheetId="23" hidden="1">{"page1",#N/A,TRUE,"CSC";"page2",#N/A,TRUE,"CSC"}</definedName>
    <definedName name="wrn.CSC2" hidden="1">{"page1",#N/A,TRUE,"CSC";"page2",#N/A,TRUE,"CSC"}</definedName>
    <definedName name="wrn.CUPID." localSheetId="23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23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atabase." localSheetId="23" hidden="1">{"subs",#N/A,FALSE,"database ";"proportional",#N/A,FALSE,"database "}</definedName>
    <definedName name="wrn.database." hidden="1">{"subs",#N/A,FALSE,"database ";"proportional",#N/A,FALSE,"database "}</definedName>
    <definedName name="wrn.Eagle." localSheetId="23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_.Base." localSheetId="23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23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xports." localSheetId="23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localSheetId="23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E._.Sensitivity." localSheetId="23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inancial._.Summary._.NZ._.DOLLARS." localSheetId="23" hidden="1">{#N/A,#N/A,FALSE,"Variables";#N/A,#N/A,FALSE,"NPV Cashflows NZ$";#N/A,#N/A,FALSE,"Cashflows NZ$"}</definedName>
    <definedName name="wrn.Financial._.Summary._.NZ._.DOLLARS." hidden="1">{#N/A,#N/A,FALSE,"Variables";#N/A,#N/A,FALSE,"NPV Cashflows NZ$";#N/A,#N/A,FALSE,"Cashflows NZ$"}</definedName>
    <definedName name="wrn.Financial._.Summary._.US._.Dollars." localSheetId="23" hidden="1">{#N/A,#N/A,FALSE,"Variables";#N/A,#N/A,FALSE,"Cashflows";#N/A,#N/A,FALSE,"NPV Cashflow"}</definedName>
    <definedName name="wrn.Financial._.Summary._.US._.Dollars." hidden="1">{#N/A,#N/A,FALSE,"Variables";#N/A,#N/A,FALSE,"Cashflows";#N/A,#N/A,FALSE,"NPV Cashflow"}</definedName>
    <definedName name="wrn.Financials._.DCF." localSheetId="2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ull." localSheetId="23" hidden="1">{#N/A,#N/A,FALSE,"Summary";#N/A,#N/A,FALSE,"CF";#N/A,#N/A,FALSE,"P&amp;L";#N/A,#N/A,FALSE,"BS";#N/A,#N/A,FALSE,"Returns";#N/A,#N/A,FALSE,"Assumptions";#N/A,#N/A,FALSE,"Analysis"}</definedName>
    <definedName name="wrn.Full." hidden="1">{#N/A,#N/A,FALSE,"Summary";#N/A,#N/A,FALSE,"CF";#N/A,#N/A,FALSE,"P&amp;L";#N/A,#N/A,FALSE,"BS";#N/A,#N/A,FALSE,"Returns";#N/A,#N/A,FALSE,"Assumptions";#N/A,#N/A,FALSE,"Analysis"}</definedName>
    <definedName name="wrn.Full._.Model._.Out._.Put." localSheetId="23" hidden="1">{#N/A,#N/A,FALSE,"Variables";#N/A,#N/A,FALSE,"Woodflow 2";#N/A,#N/A,FALSE,"Log Prices";#N/A,#N/A,FALSE,"Revenues";#N/A,#N/A,FALSE,"Harvesting ";#N/A,#N/A,FALSE,"Forest Developement";#N/A,#N/A,FALSE,"Cashflows NZ$";#N/A,#N/A,FALSE,"NPV Cashflows NZ$"}</definedName>
    <definedName name="wrn.Full._.Model._.Out._.Put." hidden="1">{#N/A,#N/A,FALSE,"Variables";#N/A,#N/A,FALSE,"Woodflow 2";#N/A,#N/A,FALSE,"Log Prices";#N/A,#N/A,FALSE,"Revenues";#N/A,#N/A,FALSE,"Harvesting ";#N/A,#N/A,FALSE,"Forest Developement";#N/A,#N/A,FALSE,"Cashflows NZ$";#N/A,#N/A,FALSE,"NPV Cashflows NZ$"}</definedName>
    <definedName name="wrn.international." localSheetId="23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taly." localSheetId="23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localSheetId="23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23" hidden="1">{"JG FE Top",#N/A,FALSE,"JG FE ¥";"JG FE Bottom",#N/A,FALSE,"JG FE ¥"}</definedName>
    <definedName name="wrn.JG._.FE._.Yen." hidden="1">{"JG FE Top",#N/A,FALSE,"JG FE ¥";"JG FE Bottom",#N/A,FALSE,"JG FE ¥"}</definedName>
    <definedName name="wrn.lbo." localSheetId="23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localSheetId="23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23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agilla." localSheetId="23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erger." localSheetId="23" hidden="1">{"inputs",#N/A,FALSE,"Inputs";"stock",#N/A,FALSE,"Stock_pur";"pool",#N/A,FALSE,"Pooling";"debt",#N/A,FALSE,"Debt_pur";"blend",#N/A,FALSE,"50_50"}</definedName>
    <definedName name="wrn.merger." hidden="1">{"inputs",#N/A,FALSE,"Inputs";"stock",#N/A,FALSE,"Stock_pur";"pool",#N/A,FALSE,"Pooling";"debt",#N/A,FALSE,"Debt_pur";"blend",#N/A,FALSE,"50_50"}</definedName>
    <definedName name="wrn.MERGER._.PLANS." localSheetId="23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LP." localSheetId="23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localSheetId="23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NA._.Model._.T._.and._.B." localSheetId="23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23" hidden="1">{"NA Top",#N/A,FALSE,"NA-ULV";"NA Bottom",#N/A,FALSE,"NA-ULV"}</definedName>
    <definedName name="wrn.NA_ULV._.Tand._.B." hidden="1">{"NA Top",#N/A,FALSE,"NA-ULV";"NA Bottom",#N/A,FALSE,"NA-ULV"}</definedName>
    <definedName name="wrn.North._.America._.Set." localSheetId="23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Post._.Tax." localSheetId="23" hidden="1">{#N/A,#N/A,FALSE,"timeval";#N/A,#N/A,FALSE,"Sens";#N/A,#N/A,FALSE,"Amortisation";#N/A,#N/A,FALSE,"Profit &amp; Loss";#N/A,#N/A,FALSE,"Fin Cashflow"}</definedName>
    <definedName name="wrn.Post._.Tax." hidden="1">{#N/A,#N/A,FALSE,"timeval";#N/A,#N/A,FALSE,"Sens";#N/A,#N/A,FALSE,"Amortisation";#N/A,#N/A,FALSE,"Profit &amp; Loss";#N/A,#N/A,FALSE,"Fin Cashflow"}</definedName>
    <definedName name="wrn.PrimeCo." localSheetId="23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" localSheetId="23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Europe._.TandB." localSheetId="23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23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standalone." localSheetId="23" hidden="1">{"standalone1",#N/A,FALSE,"DCFBase";"standalone2",#N/A,FALSE,"DCFBase"}</definedName>
    <definedName name="wrn.print._.standalone." hidden="1">{"standalone1",#N/A,FALSE,"DCFBase";"standalone2",#N/A,FALSE,"DCFBase"}</definedName>
    <definedName name="wrn.Print_all_sections." localSheetId="23" hidden="1">{#N/A,#N/A,TRUE,"Title";#N/A,#N/A,TRUE,"CC-Summary";#N/A,#N/A,TRUE,"CapitalCost";#N/A,#N/A,TRUE,"Revenue and cost analysis";#N/A,#N/A,TRUE,"DCF";#N/A,#N/A,TRUE,"DCF-APV";#N/A,#N/A,TRUE,"DCF-WACC"}</definedName>
    <definedName name="wrn.Print_all_sections." hidden="1">{#N/A,#N/A,TRUE,"Title";#N/A,#N/A,TRUE,"CC-Summary";#N/A,#N/A,TRUE,"CapitalCost";#N/A,#N/A,TRUE,"Revenue and cost analysis";#N/A,#N/A,TRUE,"DCF";#N/A,#N/A,TRUE,"DCF-APV";#N/A,#N/A,TRUE,"DCF-WACC"}</definedName>
    <definedName name="wrn.Print_CSC." localSheetId="23" hidden="1">{"CSC_1",#N/A,FALSE,"CSC Outputs";"CSC_2",#N/A,FALSE,"CSC Outputs"}</definedName>
    <definedName name="wrn.Print_CSC." hidden="1">{"CSC_1",#N/A,FALSE,"CSC Outputs";"CSC_2",#N/A,FALSE,"CSC Outputs"}</definedName>
    <definedName name="wrn.printall." localSheetId="23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Revenue." localSheetId="23" hidden="1">{#N/A,#N/A,FALSE,"Revenue (Annual)";"Revenue _ First 5 years Quarterly",#N/A,FALSE,"Revenue (Qtr)"}</definedName>
    <definedName name="wrn.Revenue." hidden="1">{#N/A,#N/A,FALSE,"Revenue (Annual)";"Revenue _ First 5 years Quarterly",#N/A,FALSE,"Revenue (Qtr)"}</definedName>
    <definedName name="wrn.SKSCS1." localSheetId="2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localSheetId="23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tandard." localSheetId="23" hidden="1">{"Financials",#N/A,FALSE,"Financials";"AVP",#N/A,FALSE,"AVP";"DCF",#N/A,FALSE,"DCF";"CSC",#N/A,FALSE,"CSC";"Deal_Comp",#N/A,FALSE,"DealComp"}</definedName>
    <definedName name="wrn.Standard." hidden="1">{"Financials",#N/A,FALSE,"Financials";"AVP",#N/A,FALSE,"AVP";"DCF",#N/A,FALSE,"DCF";"CSC",#N/A,FALSE,"CSC";"Deal_Comp",#N/A,FALSE,"DealComp"}</definedName>
    <definedName name="wrn.summary." localSheetId="23" hidden="1">{#N/A,#N/A,FALSE,"Summary";#N/A,#N/A,FALSE,"CF";#N/A,#N/A,FALSE,"P&amp;L";"summary",#N/A,FALSE,"Returns";#N/A,#N/A,FALSE,"BS";"summary",#N/A,FALSE,"Analysis";#N/A,#N/A,FALSE,"Assumptions"}</definedName>
    <definedName name="wrn.summary." hidden="1">{#N/A,#N/A,FALSE,"Summary";#N/A,#N/A,FALSE,"CF";#N/A,#N/A,FALSE,"P&amp;L";"summary",#N/A,FALSE,"Returns";#N/A,#N/A,FALSE,"BS";"summary",#N/A,FALSE,"Analysis";#N/A,#N/A,FALSE,"Assumptions"}</definedName>
    <definedName name="wrn.SummaryPgs." localSheetId="23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ykes." localSheetId="23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Tweety." localSheetId="23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derrama." localSheetId="23" hidden="1">{"valderrama1",#N/A,FALSE,"Pro Forma";"valderrama",#N/A,FALSE,"Pro Forma"}</definedName>
    <definedName name="wrn.valderrama." hidden="1">{"valderrama1",#N/A,FALSE,"Pro Forma";"valderrama",#N/A,FALSE,"Pro Forma"}</definedName>
    <definedName name="wrn.Valuation._.Package._.1." localSheetId="2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ater." localSheetId="23" hidden="1">{#N/A,#N/A,FALSE,"Water";#N/A,#N/A,FALSE,"Ballygowan";#N/A,#N/A,FALSE,"Volvic"}</definedName>
    <definedName name="wrn.Water." hidden="1">{#N/A,#N/A,FALSE,"Water";#N/A,#N/A,FALSE,"Ballygowan";#N/A,#N/A,FALSE,"Volvic"}</definedName>
    <definedName name="wrn.whole._.document." localSheetId="2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2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neSpirits." localSheetId="23" hidden="1">{#N/A,#N/A,FALSE,"W&amp;Spirits";#N/A,#N/A,FALSE,"Grants";#N/A,#N/A,FALSE,"CCB"}</definedName>
    <definedName name="wrn.WineSpirits." hidden="1">{#N/A,#N/A,FALSE,"W&amp;Spirits";#N/A,#N/A,FALSE,"Grants";#N/A,#N/A,FALSE,"CCB"}</definedName>
    <definedName name="wrn2.dcf" localSheetId="23" hidden="1">{"mgmt forecast",#N/A,FALSE,"Mgmt Forecast";"dcf table",#N/A,FALSE,"Mgmt Forecast";"sensitivity",#N/A,FALSE,"Mgmt Forecast";"table inputs",#N/A,FALSE,"Mgmt Forecast";"calculations",#N/A,FALSE,"Mgmt Forecast"}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3.dcf" localSheetId="23" hidden="1">{"mgmt forecast",#N/A,FALSE,"Mgmt Forecast";"dcf table",#N/A,FALSE,"Mgmt Forecast";"sensitivity",#N/A,FALSE,"Mgmt Forecast";"table inputs",#N/A,FALSE,"Mgmt Forecast";"calculations",#N/A,FALSE,"Mgmt Forecast"}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ww" localSheetId="23" hidden="1">{"capex_annual",#N/A,TRUE,"CAPEX";"capex_monthly",#N/A,TRUE,"CAPEX"}</definedName>
    <definedName name="www" hidden="1">{"capex_annual",#N/A,TRUE,"CAPEX";"capex_monthly",#N/A,TRUE,"CAPEX"}</definedName>
    <definedName name="xw" localSheetId="23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yhg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X4" i="3" l="1"/>
  <c r="CX5" i="3"/>
  <c r="CX6" i="3"/>
  <c r="CX7" i="3"/>
  <c r="CX8" i="3"/>
  <c r="CX9" i="3"/>
  <c r="CX10" i="3"/>
  <c r="CX11" i="3"/>
  <c r="CX12" i="3"/>
  <c r="CX13" i="3"/>
  <c r="CX14" i="3"/>
  <c r="CX15" i="3"/>
  <c r="CX16" i="3"/>
  <c r="CX17" i="3"/>
  <c r="CX18" i="3"/>
  <c r="CX19" i="3"/>
  <c r="CX20" i="3"/>
  <c r="CX21" i="3"/>
  <c r="CX22" i="3"/>
  <c r="CX3" i="3"/>
  <c r="AR4" i="52"/>
  <c r="AR5" i="52"/>
  <c r="AR6" i="52"/>
  <c r="AR7" i="52"/>
  <c r="AR8" i="52"/>
  <c r="AR9" i="52"/>
  <c r="AR10" i="52"/>
  <c r="AR11" i="52"/>
  <c r="AR12" i="52"/>
  <c r="AR13" i="52"/>
  <c r="AR14" i="52"/>
  <c r="AR15" i="52"/>
  <c r="AR16" i="52"/>
  <c r="AR17" i="52"/>
  <c r="AR18" i="52"/>
  <c r="AR19" i="52"/>
  <c r="AR20" i="52"/>
  <c r="AR21" i="52"/>
  <c r="AR3" i="52"/>
  <c r="AQ4" i="52"/>
  <c r="AQ5" i="52"/>
  <c r="AQ6" i="52"/>
  <c r="AQ7" i="52"/>
  <c r="AQ8" i="52"/>
  <c r="AQ9" i="52"/>
  <c r="AQ10" i="52"/>
  <c r="AQ11" i="52"/>
  <c r="AQ12" i="52"/>
  <c r="AQ13" i="52"/>
  <c r="AQ14" i="52"/>
  <c r="AQ15" i="52"/>
  <c r="AQ16" i="52"/>
  <c r="AQ17" i="52"/>
  <c r="AQ18" i="52"/>
  <c r="AQ19" i="52"/>
  <c r="AQ20" i="52"/>
  <c r="AQ21" i="52"/>
  <c r="AQ3" i="5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3" i="12"/>
  <c r="Q4" i="47"/>
  <c r="Q5" i="47"/>
  <c r="Q6" i="47"/>
  <c r="Q7" i="47"/>
  <c r="Q8" i="47"/>
  <c r="Q9" i="47"/>
  <c r="Q10" i="47"/>
  <c r="Q11" i="47"/>
  <c r="Q12" i="47"/>
  <c r="Q13" i="47"/>
  <c r="Q14" i="47"/>
  <c r="Q15" i="47"/>
  <c r="Q16" i="47"/>
  <c r="Q17" i="47"/>
  <c r="Q18" i="47"/>
  <c r="Q19" i="47"/>
  <c r="Q20" i="47"/>
  <c r="Q21" i="47"/>
  <c r="Q3" i="47"/>
  <c r="P4" i="47"/>
  <c r="P5" i="47"/>
  <c r="P6" i="47"/>
  <c r="P7" i="47"/>
  <c r="P8" i="47"/>
  <c r="P9" i="47"/>
  <c r="P10" i="47"/>
  <c r="P11" i="47"/>
  <c r="P12" i="47"/>
  <c r="P13" i="47"/>
  <c r="P14" i="47"/>
  <c r="P15" i="47"/>
  <c r="P16" i="47"/>
  <c r="P17" i="47"/>
  <c r="P18" i="47"/>
  <c r="P19" i="47"/>
  <c r="P20" i="47"/>
  <c r="P21" i="47"/>
  <c r="P3" i="47"/>
  <c r="CX4" i="2" l="1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3" i="2"/>
  <c r="U7" i="47" l="1"/>
  <c r="U8" i="47"/>
  <c r="U9" i="47"/>
  <c r="U10" i="47"/>
  <c r="U11" i="47"/>
  <c r="U12" i="47"/>
  <c r="U13" i="47"/>
  <c r="U14" i="47"/>
  <c r="U15" i="47"/>
  <c r="U16" i="47"/>
  <c r="U17" i="47"/>
  <c r="U18" i="47"/>
  <c r="U19" i="47"/>
  <c r="U20" i="47"/>
  <c r="U21" i="47"/>
  <c r="U3" i="47"/>
  <c r="U4" i="47"/>
  <c r="U5" i="47"/>
  <c r="AM12" i="14"/>
  <c r="AM13" i="14"/>
  <c r="AM14" i="14"/>
  <c r="AM15" i="14"/>
  <c r="AM16" i="14"/>
  <c r="AM17" i="14"/>
  <c r="AM18" i="14"/>
  <c r="AM19" i="14"/>
  <c r="AM20" i="14"/>
  <c r="AM21" i="14"/>
  <c r="AM3" i="14"/>
  <c r="AM4" i="14"/>
  <c r="AM5" i="14"/>
  <c r="AM6" i="14"/>
  <c r="AM7" i="14"/>
  <c r="AM8" i="14"/>
  <c r="AM9" i="14"/>
  <c r="AM10" i="14"/>
  <c r="AT12" i="52"/>
  <c r="AT13" i="52"/>
  <c r="AT14" i="52"/>
  <c r="AT15" i="52"/>
  <c r="AT16" i="52"/>
  <c r="AT17" i="52"/>
  <c r="AT18" i="52"/>
  <c r="AT19" i="52"/>
  <c r="AT20" i="52"/>
  <c r="AT21" i="52"/>
  <c r="AT3" i="52"/>
  <c r="AT4" i="52"/>
  <c r="AT5" i="52"/>
  <c r="AT6" i="52"/>
  <c r="AT7" i="52"/>
  <c r="AT8" i="52"/>
  <c r="AT9" i="52"/>
  <c r="AT10" i="52"/>
  <c r="EC12" i="72"/>
  <c r="EC13" i="72"/>
  <c r="EC14" i="72"/>
  <c r="EC15" i="72"/>
  <c r="EC16" i="72"/>
  <c r="EC17" i="72"/>
  <c r="EC18" i="72"/>
  <c r="EC19" i="72"/>
  <c r="EC20" i="72"/>
  <c r="EC21" i="72"/>
  <c r="EC3" i="72"/>
  <c r="EC4" i="72"/>
  <c r="EC5" i="72"/>
  <c r="EC6" i="72"/>
  <c r="EC7" i="72"/>
  <c r="EC8" i="72"/>
  <c r="EC9" i="72"/>
  <c r="EC10" i="72"/>
  <c r="AV3" i="9"/>
  <c r="AV4" i="9"/>
  <c r="AV5" i="9"/>
  <c r="AV6" i="9"/>
  <c r="AV7" i="9"/>
  <c r="AV8" i="9"/>
  <c r="AV9" i="9"/>
  <c r="AV10" i="9"/>
  <c r="AV11" i="9"/>
  <c r="AV12" i="9"/>
  <c r="AV13" i="9"/>
  <c r="AV14" i="9"/>
  <c r="AV16" i="9"/>
  <c r="AV17" i="9"/>
  <c r="AV18" i="9"/>
  <c r="AV19" i="9"/>
  <c r="AV20" i="9"/>
  <c r="AV21" i="9"/>
  <c r="U6" i="47" l="1"/>
  <c r="AM11" i="14"/>
  <c r="AT11" i="52"/>
  <c r="EC11" i="72"/>
  <c r="AV15" i="9"/>
  <c r="D21" i="47" l="1"/>
  <c r="C21" i="47"/>
  <c r="D20" i="47"/>
  <c r="C20" i="47"/>
  <c r="D21" i="14"/>
  <c r="C21" i="14"/>
  <c r="D20" i="14"/>
  <c r="C20" i="14"/>
  <c r="D21" i="52"/>
  <c r="C21" i="52"/>
  <c r="D20" i="52"/>
  <c r="C20" i="52"/>
  <c r="D21" i="72"/>
  <c r="C21" i="72"/>
  <c r="D20" i="72"/>
  <c r="C20" i="72"/>
  <c r="C21" i="9"/>
  <c r="C20" i="9"/>
  <c r="C21" i="43"/>
  <c r="C20" i="43"/>
  <c r="C21" i="42"/>
  <c r="C20" i="42"/>
  <c r="C21" i="44"/>
  <c r="C20" i="44"/>
  <c r="D21" i="11"/>
  <c r="C21" i="11"/>
  <c r="D20" i="11"/>
  <c r="C20" i="11"/>
  <c r="D21" i="12"/>
  <c r="D20" i="12"/>
  <c r="C21" i="12"/>
  <c r="C20" i="12"/>
  <c r="CW3" i="70" l="1"/>
  <c r="CW4" i="3"/>
  <c r="CW5" i="3"/>
  <c r="CW6" i="3"/>
  <c r="CW7" i="3"/>
  <c r="CW8" i="3"/>
  <c r="CW9" i="3"/>
  <c r="CW10" i="3"/>
  <c r="CW11" i="3"/>
  <c r="CW12" i="3"/>
  <c r="CW13" i="3"/>
  <c r="CW14" i="3"/>
  <c r="CW15" i="3"/>
  <c r="CW16" i="3"/>
  <c r="CW17" i="3"/>
  <c r="CW18" i="3"/>
  <c r="CW19" i="3"/>
  <c r="CW20" i="3"/>
  <c r="CW21" i="3"/>
  <c r="CW22" i="3"/>
  <c r="CW3" i="3"/>
  <c r="CW4" i="2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3" i="2"/>
  <c r="AN21" i="44" l="1"/>
  <c r="AN20" i="44"/>
  <c r="AN19" i="44"/>
  <c r="AN18" i="44"/>
  <c r="AN17" i="44"/>
  <c r="AN16" i="44"/>
  <c r="AN15" i="44"/>
  <c r="AN14" i="44"/>
  <c r="AN13" i="44"/>
  <c r="AN12" i="44"/>
  <c r="AN11" i="44"/>
  <c r="AN10" i="44"/>
  <c r="AN9" i="44"/>
  <c r="AN8" i="44"/>
  <c r="AN7" i="44"/>
  <c r="AN6" i="44"/>
  <c r="AN5" i="44"/>
  <c r="AN4" i="44"/>
  <c r="AN3" i="44"/>
  <c r="AO4" i="42"/>
  <c r="AO5" i="42"/>
  <c r="AO6" i="42"/>
  <c r="AO7" i="42"/>
  <c r="AO8" i="42"/>
  <c r="AO9" i="42"/>
  <c r="AO10" i="42"/>
  <c r="AO11" i="42"/>
  <c r="AO12" i="42"/>
  <c r="AO13" i="42"/>
  <c r="AO14" i="42"/>
  <c r="AO15" i="42"/>
  <c r="AO16" i="42"/>
  <c r="AO17" i="42"/>
  <c r="AO18" i="42"/>
  <c r="AO19" i="42"/>
  <c r="AO20" i="42"/>
  <c r="AO21" i="42"/>
  <c r="AO3" i="42"/>
  <c r="AV4" i="43"/>
  <c r="AV5" i="43"/>
  <c r="AV6" i="43"/>
  <c r="AV7" i="43"/>
  <c r="AV8" i="43"/>
  <c r="AV9" i="43"/>
  <c r="AV10" i="43"/>
  <c r="AV11" i="43"/>
  <c r="AV12" i="43"/>
  <c r="AV13" i="43"/>
  <c r="AV14" i="43"/>
  <c r="AV15" i="43"/>
  <c r="AV16" i="43"/>
  <c r="AV17" i="43"/>
  <c r="AV18" i="43"/>
  <c r="AV19" i="43"/>
  <c r="AV20" i="43"/>
  <c r="AV21" i="43"/>
  <c r="AV3" i="43"/>
  <c r="AN4" i="11"/>
  <c r="AN5" i="11"/>
  <c r="AN6" i="11"/>
  <c r="AN7" i="11"/>
  <c r="AN8" i="11"/>
  <c r="AN9" i="11"/>
  <c r="AN10" i="11"/>
  <c r="AN11" i="11"/>
  <c r="AN12" i="11"/>
  <c r="AN13" i="11"/>
  <c r="AN14" i="11"/>
  <c r="AN15" i="11"/>
  <c r="AN16" i="11"/>
  <c r="AN17" i="11"/>
  <c r="AN18" i="11"/>
  <c r="AN19" i="11"/>
  <c r="AN20" i="11"/>
  <c r="AN21" i="11"/>
  <c r="AN3" i="11"/>
  <c r="AK4" i="11"/>
  <c r="DU4" i="72" s="1"/>
  <c r="AK5" i="11"/>
  <c r="DU5" i="72" s="1"/>
  <c r="AK6" i="11"/>
  <c r="DU6" i="72" s="1"/>
  <c r="AK7" i="11"/>
  <c r="DU7" i="72" s="1"/>
  <c r="AK8" i="11"/>
  <c r="DU8" i="72" s="1"/>
  <c r="AK9" i="11"/>
  <c r="DU9" i="72" s="1"/>
  <c r="AK10" i="11"/>
  <c r="DU10" i="72" s="1"/>
  <c r="AK11" i="11"/>
  <c r="DU11" i="72" s="1"/>
  <c r="AK12" i="11"/>
  <c r="DU12" i="72" s="1"/>
  <c r="AK13" i="11"/>
  <c r="DU13" i="72" s="1"/>
  <c r="AK14" i="11"/>
  <c r="DU14" i="72" s="1"/>
  <c r="AK15" i="11"/>
  <c r="DU15" i="72" s="1"/>
  <c r="AK16" i="11"/>
  <c r="DU16" i="72" s="1"/>
  <c r="AK17" i="11"/>
  <c r="DU17" i="72" s="1"/>
  <c r="AK18" i="11"/>
  <c r="DU18" i="72" s="1"/>
  <c r="AK19" i="11"/>
  <c r="DU19" i="72" s="1"/>
  <c r="AK20" i="11"/>
  <c r="DU20" i="72" s="1"/>
  <c r="AK21" i="11"/>
  <c r="DU21" i="72" s="1"/>
  <c r="AK3" i="11"/>
  <c r="DU3" i="72" s="1"/>
  <c r="AJ4" i="11"/>
  <c r="DQ4" i="72" s="1"/>
  <c r="AJ5" i="11"/>
  <c r="DQ5" i="72" s="1"/>
  <c r="AJ6" i="11"/>
  <c r="DQ6" i="72" s="1"/>
  <c r="AJ7" i="11"/>
  <c r="DQ7" i="72" s="1"/>
  <c r="AJ8" i="11"/>
  <c r="DQ8" i="72" s="1"/>
  <c r="AJ9" i="11"/>
  <c r="DQ9" i="72" s="1"/>
  <c r="AJ10" i="11"/>
  <c r="DQ10" i="72" s="1"/>
  <c r="AJ11" i="11"/>
  <c r="DQ11" i="72" s="1"/>
  <c r="AJ12" i="11"/>
  <c r="DQ12" i="72" s="1"/>
  <c r="AJ13" i="11"/>
  <c r="DQ13" i="72" s="1"/>
  <c r="AJ14" i="11"/>
  <c r="DQ14" i="72" s="1"/>
  <c r="AJ15" i="11"/>
  <c r="DQ15" i="72" s="1"/>
  <c r="AJ16" i="11"/>
  <c r="DQ16" i="72" s="1"/>
  <c r="AJ17" i="11"/>
  <c r="DQ17" i="72" s="1"/>
  <c r="AJ18" i="11"/>
  <c r="DQ18" i="72" s="1"/>
  <c r="AJ19" i="11"/>
  <c r="DQ19" i="72" s="1"/>
  <c r="AJ20" i="11"/>
  <c r="DQ20" i="72" s="1"/>
  <c r="AJ21" i="11"/>
  <c r="DQ21" i="72" s="1"/>
  <c r="AJ3" i="11"/>
  <c r="DQ3" i="72" s="1"/>
  <c r="AI4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3" i="11"/>
  <c r="AH4" i="1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3" i="11"/>
  <c r="AG4" i="11"/>
  <c r="AG5" i="11"/>
  <c r="AG6" i="11"/>
  <c r="AG7" i="11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3" i="11"/>
  <c r="AF4" i="11"/>
  <c r="AF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3" i="11"/>
  <c r="AE4" i="11"/>
  <c r="AE5" i="11"/>
  <c r="AE6" i="11"/>
  <c r="AE7" i="11"/>
  <c r="AE8" i="11"/>
  <c r="AE9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3" i="11"/>
  <c r="AD4" i="11"/>
  <c r="AD5" i="11"/>
  <c r="AD6" i="11"/>
  <c r="AD7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3" i="11"/>
  <c r="AC4" i="11"/>
  <c r="AC5" i="11"/>
  <c r="AC6" i="11"/>
  <c r="AC7" i="11"/>
  <c r="AC8" i="11"/>
  <c r="AC9" i="11"/>
  <c r="AC10" i="11"/>
  <c r="AC11" i="11"/>
  <c r="AC12" i="11"/>
  <c r="AC13" i="11"/>
  <c r="AC14" i="11"/>
  <c r="AC15" i="11"/>
  <c r="AC16" i="11"/>
  <c r="AC17" i="11"/>
  <c r="AC18" i="11"/>
  <c r="AC19" i="11"/>
  <c r="AC20" i="11"/>
  <c r="AC21" i="11"/>
  <c r="AC3" i="11"/>
  <c r="AB4" i="11"/>
  <c r="AB5" i="11"/>
  <c r="AB6" i="11"/>
  <c r="AB7" i="11"/>
  <c r="AB8" i="11"/>
  <c r="AB9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3" i="11"/>
  <c r="AA4" i="11"/>
  <c r="AA5" i="11"/>
  <c r="AA6" i="11"/>
  <c r="AA7" i="11"/>
  <c r="AA8" i="11"/>
  <c r="AA9" i="11"/>
  <c r="AA10" i="11"/>
  <c r="AA11" i="11"/>
  <c r="AA12" i="11"/>
  <c r="AA13" i="11"/>
  <c r="AA14" i="11"/>
  <c r="AA15" i="11"/>
  <c r="AA16" i="11"/>
  <c r="AA17" i="11"/>
  <c r="AA18" i="11"/>
  <c r="AA19" i="11"/>
  <c r="AA20" i="11"/>
  <c r="AA21" i="11"/>
  <c r="AA3" i="11"/>
  <c r="Z4" i="11"/>
  <c r="Z5" i="11"/>
  <c r="Z6" i="11"/>
  <c r="Z7" i="11"/>
  <c r="Z8" i="11"/>
  <c r="Z9" i="11"/>
  <c r="Z10" i="11"/>
  <c r="Z11" i="11"/>
  <c r="Z12" i="11"/>
  <c r="Z13" i="11"/>
  <c r="Z14" i="11"/>
  <c r="Z15" i="11"/>
  <c r="Z16" i="11"/>
  <c r="Z17" i="11"/>
  <c r="Z18" i="11"/>
  <c r="Z19" i="11"/>
  <c r="Z20" i="11"/>
  <c r="Z21" i="11"/>
  <c r="Z3" i="11"/>
  <c r="Y4" i="11"/>
  <c r="Y5" i="11"/>
  <c r="Y6" i="11"/>
  <c r="Y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3" i="1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3" i="11"/>
  <c r="W4" i="11"/>
  <c r="W5" i="11"/>
  <c r="W6" i="11"/>
  <c r="W7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3" i="11"/>
  <c r="V4" i="11"/>
  <c r="V5" i="11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3" i="11"/>
  <c r="U4" i="11"/>
  <c r="U5" i="11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3" i="1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3" i="1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3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3" i="11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3" i="1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3" i="11"/>
  <c r="AN4" i="12"/>
  <c r="AN5" i="12"/>
  <c r="AN6" i="12"/>
  <c r="AN7" i="12"/>
  <c r="AN8" i="12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N21" i="12"/>
  <c r="AN3" i="12"/>
  <c r="AK4" i="12"/>
  <c r="DV4" i="72" s="1"/>
  <c r="AK5" i="12"/>
  <c r="DV5" i="72" s="1"/>
  <c r="AK6" i="12"/>
  <c r="DV6" i="72" s="1"/>
  <c r="AK7" i="12"/>
  <c r="DV7" i="72" s="1"/>
  <c r="AK8" i="12"/>
  <c r="DV8" i="72" s="1"/>
  <c r="AK9" i="12"/>
  <c r="DV9" i="72" s="1"/>
  <c r="AK10" i="12"/>
  <c r="DV10" i="72" s="1"/>
  <c r="AK11" i="12"/>
  <c r="DV11" i="72" s="1"/>
  <c r="AK12" i="12"/>
  <c r="DV12" i="72" s="1"/>
  <c r="AK13" i="12"/>
  <c r="DV13" i="72" s="1"/>
  <c r="AK14" i="12"/>
  <c r="DV14" i="72" s="1"/>
  <c r="AK15" i="12"/>
  <c r="DV15" i="72" s="1"/>
  <c r="AK16" i="12"/>
  <c r="DV16" i="72" s="1"/>
  <c r="AK17" i="12"/>
  <c r="DV17" i="72" s="1"/>
  <c r="AK18" i="12"/>
  <c r="DV18" i="72" s="1"/>
  <c r="AK19" i="12"/>
  <c r="DV19" i="72" s="1"/>
  <c r="AK20" i="12"/>
  <c r="DV20" i="72" s="1"/>
  <c r="AK21" i="12"/>
  <c r="DV21" i="72" s="1"/>
  <c r="AK3" i="12"/>
  <c r="DV3" i="72" s="1"/>
  <c r="AJ4" i="12"/>
  <c r="DR4" i="72" s="1"/>
  <c r="AJ5" i="12"/>
  <c r="AK5" i="52" s="1"/>
  <c r="AJ6" i="12"/>
  <c r="AK6" i="52" s="1"/>
  <c r="AJ7" i="12"/>
  <c r="AK7" i="52" s="1"/>
  <c r="AJ8" i="12"/>
  <c r="AJ9" i="12"/>
  <c r="AJ10" i="12"/>
  <c r="AK10" i="52" s="1"/>
  <c r="AJ11" i="12"/>
  <c r="AJ11" i="14" s="1"/>
  <c r="AJ12" i="12"/>
  <c r="AJ12" i="14" s="1"/>
  <c r="AJ13" i="12"/>
  <c r="AJ14" i="12"/>
  <c r="AJ15" i="12"/>
  <c r="AJ16" i="12"/>
  <c r="AJ17" i="12"/>
  <c r="AJ18" i="12"/>
  <c r="AK18" i="52" s="1"/>
  <c r="AJ19" i="12"/>
  <c r="DR19" i="72" s="1"/>
  <c r="AJ20" i="12"/>
  <c r="DR20" i="72" s="1"/>
  <c r="AJ21" i="12"/>
  <c r="AK21" i="52" s="1"/>
  <c r="AJ3" i="12"/>
  <c r="AK3" i="52" s="1"/>
  <c r="AI4" i="12"/>
  <c r="AI5" i="12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3" i="12"/>
  <c r="AH4" i="12"/>
  <c r="AH5" i="12"/>
  <c r="AH6" i="12"/>
  <c r="AH7" i="12"/>
  <c r="AH8" i="12"/>
  <c r="AH9" i="12"/>
  <c r="AH10" i="12"/>
  <c r="AH11" i="12"/>
  <c r="AH12" i="12"/>
  <c r="AH13" i="12"/>
  <c r="AH14" i="12"/>
  <c r="AH15" i="12"/>
  <c r="AH16" i="12"/>
  <c r="AH17" i="12"/>
  <c r="AH18" i="12"/>
  <c r="AH19" i="12"/>
  <c r="AH20" i="12"/>
  <c r="AH21" i="12"/>
  <c r="AH3" i="12"/>
  <c r="AG4" i="12"/>
  <c r="AG5" i="12"/>
  <c r="AG6" i="12"/>
  <c r="AG7" i="12"/>
  <c r="AG8" i="12"/>
  <c r="AG9" i="12"/>
  <c r="AG10" i="12"/>
  <c r="AG11" i="12"/>
  <c r="AG12" i="12"/>
  <c r="AG13" i="12"/>
  <c r="AG14" i="12"/>
  <c r="AG15" i="12"/>
  <c r="AG16" i="12"/>
  <c r="AG17" i="12"/>
  <c r="AG18" i="12"/>
  <c r="AG19" i="12"/>
  <c r="AG20" i="12"/>
  <c r="AG21" i="12"/>
  <c r="AG3" i="12"/>
  <c r="AF4" i="12"/>
  <c r="AF5" i="12"/>
  <c r="AF6" i="12"/>
  <c r="AF7" i="12"/>
  <c r="AF8" i="12"/>
  <c r="AF9" i="12"/>
  <c r="AF10" i="12"/>
  <c r="AF11" i="12"/>
  <c r="AF12" i="12"/>
  <c r="AF13" i="12"/>
  <c r="AF14" i="12"/>
  <c r="AF15" i="12"/>
  <c r="AF16" i="12"/>
  <c r="AF17" i="12"/>
  <c r="AF18" i="12"/>
  <c r="AF19" i="12"/>
  <c r="AF20" i="12"/>
  <c r="AF21" i="12"/>
  <c r="AF3" i="12"/>
  <c r="AE4" i="12"/>
  <c r="AE5" i="12"/>
  <c r="AE6" i="12"/>
  <c r="AE7" i="12"/>
  <c r="AE8" i="12"/>
  <c r="AE9" i="12"/>
  <c r="AE10" i="12"/>
  <c r="AE11" i="12"/>
  <c r="AE12" i="12"/>
  <c r="AE13" i="12"/>
  <c r="AE14" i="12"/>
  <c r="AE15" i="12"/>
  <c r="AE16" i="12"/>
  <c r="AE17" i="12"/>
  <c r="AE18" i="12"/>
  <c r="AE19" i="12"/>
  <c r="AE20" i="12"/>
  <c r="AE21" i="12"/>
  <c r="AE3" i="12"/>
  <c r="AD4" i="12"/>
  <c r="AD5" i="12"/>
  <c r="AD6" i="12"/>
  <c r="AD7" i="12"/>
  <c r="AD8" i="12"/>
  <c r="AD9" i="12"/>
  <c r="AD10" i="12"/>
  <c r="AD11" i="12"/>
  <c r="AD12" i="12"/>
  <c r="AD13" i="12"/>
  <c r="AD14" i="12"/>
  <c r="AD15" i="12"/>
  <c r="AD16" i="12"/>
  <c r="AD17" i="12"/>
  <c r="AD18" i="12"/>
  <c r="AD19" i="12"/>
  <c r="AD20" i="12"/>
  <c r="AD21" i="12"/>
  <c r="AD3" i="12"/>
  <c r="AC4" i="12"/>
  <c r="AC5" i="12"/>
  <c r="AC6" i="12"/>
  <c r="AC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3" i="12"/>
  <c r="AB4" i="12"/>
  <c r="AB5" i="12"/>
  <c r="AB6" i="12"/>
  <c r="AB7" i="12"/>
  <c r="AB8" i="12"/>
  <c r="AB9" i="12"/>
  <c r="AB10" i="12"/>
  <c r="AB11" i="12"/>
  <c r="AB12" i="12"/>
  <c r="AB13" i="12"/>
  <c r="AB14" i="12"/>
  <c r="AB15" i="12"/>
  <c r="AB16" i="12"/>
  <c r="AB17" i="12"/>
  <c r="AB18" i="12"/>
  <c r="AB19" i="12"/>
  <c r="AB20" i="12"/>
  <c r="AB21" i="12"/>
  <c r="AB3" i="12"/>
  <c r="AA4" i="12"/>
  <c r="AA5" i="12"/>
  <c r="AA6" i="12"/>
  <c r="AA7" i="12"/>
  <c r="AA8" i="12"/>
  <c r="AA9" i="12"/>
  <c r="AA10" i="12"/>
  <c r="AA11" i="12"/>
  <c r="AA12" i="12"/>
  <c r="AA13" i="12"/>
  <c r="AA14" i="12"/>
  <c r="AA15" i="12"/>
  <c r="AA16" i="12"/>
  <c r="AA17" i="12"/>
  <c r="AA18" i="12"/>
  <c r="AA19" i="12"/>
  <c r="AA20" i="12"/>
  <c r="AA21" i="12"/>
  <c r="AA3" i="12"/>
  <c r="Z4" i="12"/>
  <c r="Z5" i="12"/>
  <c r="Z6" i="12"/>
  <c r="Z7" i="12"/>
  <c r="Z8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3" i="12"/>
  <c r="Y4" i="12"/>
  <c r="Y5" i="12"/>
  <c r="Y6" i="12"/>
  <c r="Y7" i="12"/>
  <c r="Y8" i="12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3" i="12"/>
  <c r="X4" i="12"/>
  <c r="X5" i="12"/>
  <c r="X6" i="12"/>
  <c r="X7" i="12"/>
  <c r="X8" i="12"/>
  <c r="X9" i="12"/>
  <c r="X10" i="12"/>
  <c r="X11" i="12"/>
  <c r="X12" i="12"/>
  <c r="X13" i="12"/>
  <c r="X14" i="12"/>
  <c r="X15" i="12"/>
  <c r="X16" i="12"/>
  <c r="X17" i="12"/>
  <c r="X18" i="12"/>
  <c r="X19" i="12"/>
  <c r="X20" i="12"/>
  <c r="X21" i="12"/>
  <c r="X3" i="12"/>
  <c r="W4" i="12"/>
  <c r="W5" i="12"/>
  <c r="W6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3" i="12"/>
  <c r="V4" i="12"/>
  <c r="V5" i="12"/>
  <c r="V6" i="12"/>
  <c r="V7" i="12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3" i="12"/>
  <c r="U4" i="12"/>
  <c r="U5" i="12"/>
  <c r="U6" i="12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3" i="12"/>
  <c r="T4" i="12"/>
  <c r="T5" i="12"/>
  <c r="T6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3" i="12"/>
  <c r="S4" i="12"/>
  <c r="S5" i="12"/>
  <c r="S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3" i="12"/>
  <c r="R4" i="12"/>
  <c r="R5" i="12"/>
  <c r="R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3" i="12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3" i="12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3" i="12"/>
  <c r="O4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3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3" i="12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3" i="12"/>
  <c r="B6" i="61"/>
  <c r="B3" i="61"/>
  <c r="T22" i="61"/>
  <c r="S22" i="61"/>
  <c r="P22" i="61"/>
  <c r="N22" i="61"/>
  <c r="M22" i="61"/>
  <c r="L22" i="61"/>
  <c r="K22" i="61"/>
  <c r="J22" i="61"/>
  <c r="E22" i="61"/>
  <c r="T21" i="61"/>
  <c r="S21" i="61"/>
  <c r="P21" i="61"/>
  <c r="N21" i="61"/>
  <c r="M21" i="61"/>
  <c r="L21" i="61"/>
  <c r="K21" i="61"/>
  <c r="J21" i="61"/>
  <c r="T20" i="61"/>
  <c r="S20" i="61"/>
  <c r="P20" i="61"/>
  <c r="N20" i="61"/>
  <c r="M20" i="61"/>
  <c r="L20" i="61"/>
  <c r="K20" i="61"/>
  <c r="J20" i="61"/>
  <c r="T19" i="61"/>
  <c r="S19" i="61"/>
  <c r="P19" i="61"/>
  <c r="N19" i="61"/>
  <c r="M19" i="61"/>
  <c r="L19" i="61"/>
  <c r="K19" i="61"/>
  <c r="J19" i="61"/>
  <c r="E19" i="61"/>
  <c r="T18" i="61"/>
  <c r="S18" i="61"/>
  <c r="P18" i="61"/>
  <c r="N18" i="61"/>
  <c r="M18" i="61"/>
  <c r="L18" i="61"/>
  <c r="K18" i="61"/>
  <c r="J18" i="61"/>
  <c r="T17" i="61"/>
  <c r="S17" i="61"/>
  <c r="P17" i="61"/>
  <c r="N17" i="61"/>
  <c r="M17" i="61"/>
  <c r="L17" i="61"/>
  <c r="K17" i="61"/>
  <c r="J17" i="61"/>
  <c r="T16" i="61"/>
  <c r="S16" i="61"/>
  <c r="P16" i="61"/>
  <c r="N16" i="61"/>
  <c r="M16" i="61"/>
  <c r="L16" i="61"/>
  <c r="K16" i="61"/>
  <c r="J16" i="61"/>
  <c r="E16" i="61"/>
  <c r="T15" i="61"/>
  <c r="S15" i="61"/>
  <c r="P15" i="61"/>
  <c r="N15" i="61"/>
  <c r="M15" i="61"/>
  <c r="L15" i="61"/>
  <c r="K15" i="61"/>
  <c r="J15" i="61"/>
  <c r="T14" i="61"/>
  <c r="S14" i="61"/>
  <c r="P14" i="61"/>
  <c r="N14" i="61"/>
  <c r="M14" i="61"/>
  <c r="L14" i="61"/>
  <c r="K14" i="61"/>
  <c r="J14" i="61"/>
  <c r="T13" i="61"/>
  <c r="S13" i="61"/>
  <c r="P13" i="61"/>
  <c r="N13" i="61"/>
  <c r="M13" i="61"/>
  <c r="L13" i="61"/>
  <c r="K13" i="61"/>
  <c r="J13" i="61"/>
  <c r="T12" i="61"/>
  <c r="S12" i="61"/>
  <c r="P12" i="61"/>
  <c r="N12" i="61"/>
  <c r="M12" i="61"/>
  <c r="L12" i="61"/>
  <c r="K12" i="61"/>
  <c r="J12" i="61"/>
  <c r="T11" i="61"/>
  <c r="S11" i="61"/>
  <c r="P11" i="61"/>
  <c r="N11" i="61"/>
  <c r="M11" i="61"/>
  <c r="L11" i="61"/>
  <c r="K11" i="61"/>
  <c r="J11" i="61"/>
  <c r="E11" i="61"/>
  <c r="T10" i="61"/>
  <c r="S10" i="61"/>
  <c r="P10" i="61"/>
  <c r="N10" i="61"/>
  <c r="M10" i="61"/>
  <c r="L10" i="61"/>
  <c r="K10" i="61"/>
  <c r="J10" i="61"/>
  <c r="T9" i="61"/>
  <c r="S9" i="61"/>
  <c r="P9" i="61"/>
  <c r="N9" i="61"/>
  <c r="M9" i="61"/>
  <c r="L9" i="61"/>
  <c r="K9" i="61"/>
  <c r="J9" i="61"/>
  <c r="T8" i="61"/>
  <c r="S8" i="61"/>
  <c r="P8" i="61"/>
  <c r="N8" i="61"/>
  <c r="M8" i="61"/>
  <c r="L8" i="61"/>
  <c r="K8" i="61"/>
  <c r="J8" i="61"/>
  <c r="T7" i="61"/>
  <c r="S7" i="61"/>
  <c r="P7" i="61"/>
  <c r="N7" i="61"/>
  <c r="M7" i="61"/>
  <c r="L7" i="61"/>
  <c r="K7" i="61"/>
  <c r="J7" i="61"/>
  <c r="E7" i="61"/>
  <c r="T6" i="61"/>
  <c r="S6" i="61"/>
  <c r="P6" i="61"/>
  <c r="N6" i="61"/>
  <c r="M6" i="61"/>
  <c r="L6" i="61"/>
  <c r="K6" i="61"/>
  <c r="J6" i="61"/>
  <c r="T5" i="61"/>
  <c r="S5" i="61"/>
  <c r="P5" i="61"/>
  <c r="N5" i="61"/>
  <c r="M5" i="61"/>
  <c r="L5" i="61"/>
  <c r="K5" i="61"/>
  <c r="J5" i="61"/>
  <c r="T4" i="61"/>
  <c r="S4" i="61"/>
  <c r="P4" i="61"/>
  <c r="N4" i="61"/>
  <c r="M4" i="61"/>
  <c r="L4" i="61"/>
  <c r="K4" i="61"/>
  <c r="J4" i="61"/>
  <c r="T3" i="61"/>
  <c r="S3" i="61"/>
  <c r="P3" i="61"/>
  <c r="N3" i="61"/>
  <c r="M3" i="61"/>
  <c r="L3" i="61"/>
  <c r="K3" i="61"/>
  <c r="J3" i="61"/>
  <c r="CW4" i="70"/>
  <c r="CW5" i="70"/>
  <c r="CW6" i="70"/>
  <c r="CW7" i="70"/>
  <c r="CW8" i="70"/>
  <c r="CW9" i="70"/>
  <c r="CW10" i="70"/>
  <c r="CW11" i="70"/>
  <c r="CW12" i="70"/>
  <c r="CW13" i="70"/>
  <c r="CW14" i="70"/>
  <c r="CW15" i="70"/>
  <c r="CW16" i="70"/>
  <c r="CW17" i="70"/>
  <c r="CW18" i="70"/>
  <c r="CW19" i="70"/>
  <c r="CW20" i="70"/>
  <c r="CW21" i="70"/>
  <c r="CW22" i="70"/>
  <c r="AQ22" i="52" l="1"/>
  <c r="AJ17" i="14"/>
  <c r="AJ16" i="14"/>
  <c r="AL21" i="12"/>
  <c r="AL5" i="12"/>
  <c r="AJ15" i="14"/>
  <c r="AJ14" i="14"/>
  <c r="AJ13" i="14"/>
  <c r="AL21" i="11"/>
  <c r="L21" i="47" s="1"/>
  <c r="AL5" i="11"/>
  <c r="L4" i="47" s="1"/>
  <c r="AL19" i="11"/>
  <c r="AK9" i="52"/>
  <c r="AL18" i="11"/>
  <c r="L16" i="47" s="1"/>
  <c r="AK8" i="52"/>
  <c r="AL17" i="11"/>
  <c r="K19" i="47" s="1"/>
  <c r="AL16" i="11"/>
  <c r="L15" i="47" s="1"/>
  <c r="AL15" i="11"/>
  <c r="AL14" i="11"/>
  <c r="K14" i="47" s="1"/>
  <c r="AL13" i="11"/>
  <c r="L18" i="47" s="1"/>
  <c r="AL4" i="11"/>
  <c r="K10" i="47" s="1"/>
  <c r="AL12" i="11"/>
  <c r="K9" i="47" s="1"/>
  <c r="AL3" i="11"/>
  <c r="L7" i="47" s="1"/>
  <c r="AL6" i="11"/>
  <c r="K5" i="47" s="1"/>
  <c r="AL11" i="11"/>
  <c r="L13" i="47" s="1"/>
  <c r="AL20" i="11"/>
  <c r="L20" i="47" s="1"/>
  <c r="AL10" i="11"/>
  <c r="K12" i="47" s="1"/>
  <c r="AL9" i="11"/>
  <c r="AL8" i="11"/>
  <c r="K11" i="47" s="1"/>
  <c r="AL7" i="11"/>
  <c r="L3" i="47" s="1"/>
  <c r="AL19" i="12"/>
  <c r="M17" i="47" s="1"/>
  <c r="AL18" i="12"/>
  <c r="M16" i="47" s="1"/>
  <c r="AL17" i="12"/>
  <c r="N19" i="47" s="1"/>
  <c r="AL4" i="12"/>
  <c r="N10" i="47" s="1"/>
  <c r="AL15" i="12"/>
  <c r="M6" i="47" s="1"/>
  <c r="AL20" i="12"/>
  <c r="M20" i="47" s="1"/>
  <c r="AL14" i="12"/>
  <c r="AL13" i="12"/>
  <c r="M18" i="47" s="1"/>
  <c r="AL16" i="12"/>
  <c r="M15" i="47" s="1"/>
  <c r="AL12" i="12"/>
  <c r="M9" i="47" s="1"/>
  <c r="AL7" i="12"/>
  <c r="N3" i="47" s="1"/>
  <c r="AL3" i="12"/>
  <c r="M7" i="47" s="1"/>
  <c r="AL6" i="12"/>
  <c r="N5" i="47" s="1"/>
  <c r="AL11" i="12"/>
  <c r="N13" i="47" s="1"/>
  <c r="AL10" i="12"/>
  <c r="M12" i="47" s="1"/>
  <c r="AL9" i="12"/>
  <c r="M8" i="47" s="1"/>
  <c r="AL8" i="12"/>
  <c r="M11" i="47" s="1"/>
  <c r="AK17" i="52"/>
  <c r="DR15" i="72"/>
  <c r="AJ5" i="14"/>
  <c r="AJ21" i="14"/>
  <c r="N21" i="47"/>
  <c r="M21" i="47"/>
  <c r="N4" i="47"/>
  <c r="M4" i="47"/>
  <c r="L5" i="47"/>
  <c r="N14" i="47"/>
  <c r="M14" i="47"/>
  <c r="L8" i="47"/>
  <c r="K8" i="47"/>
  <c r="L11" i="47"/>
  <c r="L19" i="47"/>
  <c r="L6" i="47"/>
  <c r="K6" i="47"/>
  <c r="L17" i="47"/>
  <c r="K17" i="47"/>
  <c r="DR18" i="72"/>
  <c r="AK20" i="52"/>
  <c r="AK4" i="52"/>
  <c r="AJ18" i="14"/>
  <c r="DR17" i="72"/>
  <c r="AK19" i="52"/>
  <c r="AJ3" i="14"/>
  <c r="AJ19" i="14"/>
  <c r="DR16" i="72"/>
  <c r="AJ4" i="14"/>
  <c r="AJ20" i="14"/>
  <c r="DR14" i="72"/>
  <c r="AK16" i="52"/>
  <c r="AJ6" i="14"/>
  <c r="DR13" i="72"/>
  <c r="AK15" i="52"/>
  <c r="AJ7" i="14"/>
  <c r="DR12" i="72"/>
  <c r="AK14" i="52"/>
  <c r="AJ8" i="14"/>
  <c r="DR11" i="72"/>
  <c r="AK13" i="52"/>
  <c r="AJ9" i="14"/>
  <c r="AK22" i="11"/>
  <c r="DR10" i="72"/>
  <c r="AK12" i="52"/>
  <c r="AJ10" i="14"/>
  <c r="DR9" i="72"/>
  <c r="AK11" i="52"/>
  <c r="DR8" i="72"/>
  <c r="DR7" i="72"/>
  <c r="DR3" i="72"/>
  <c r="DR6" i="72"/>
  <c r="DR21" i="72"/>
  <c r="DR5" i="72"/>
  <c r="I19" i="61"/>
  <c r="I5" i="61"/>
  <c r="I13" i="61"/>
  <c r="I15" i="61"/>
  <c r="I17" i="61"/>
  <c r="H5" i="43"/>
  <c r="I6" i="61"/>
  <c r="I8" i="61"/>
  <c r="H10" i="43"/>
  <c r="H10" i="44"/>
  <c r="J10" i="43"/>
  <c r="H21" i="43"/>
  <c r="H7" i="44"/>
  <c r="I9" i="61"/>
  <c r="I11" i="61"/>
  <c r="I5" i="43"/>
  <c r="J3" i="43"/>
  <c r="I21" i="61"/>
  <c r="H12" i="42"/>
  <c r="J5" i="43"/>
  <c r="I4" i="61"/>
  <c r="I7" i="61"/>
  <c r="H3" i="44"/>
  <c r="I10" i="61"/>
  <c r="H5" i="44"/>
  <c r="H11" i="43"/>
  <c r="I12" i="61"/>
  <c r="I14" i="61"/>
  <c r="H3" i="42"/>
  <c r="H11" i="44"/>
  <c r="I18" i="61"/>
  <c r="H5" i="42"/>
  <c r="I11" i="43"/>
  <c r="I20" i="61"/>
  <c r="I3" i="61"/>
  <c r="I16" i="61"/>
  <c r="I22" i="61"/>
  <c r="AJ22" i="11"/>
  <c r="AK22" i="12"/>
  <c r="AJ22" i="12"/>
  <c r="P22" i="47"/>
  <c r="H13" i="42" l="1"/>
  <c r="H13" i="9"/>
  <c r="J13" i="9"/>
  <c r="I17" i="9"/>
  <c r="H17" i="42"/>
  <c r="H17" i="9"/>
  <c r="J17" i="9"/>
  <c r="H8" i="9"/>
  <c r="H8" i="42"/>
  <c r="J8" i="9"/>
  <c r="J15" i="9"/>
  <c r="H15" i="9"/>
  <c r="I19" i="9"/>
  <c r="H19" i="42"/>
  <c r="J19" i="9"/>
  <c r="H19" i="9"/>
  <c r="H18" i="42"/>
  <c r="H18" i="9"/>
  <c r="J18" i="9"/>
  <c r="I18" i="9"/>
  <c r="H7" i="9"/>
  <c r="J7" i="9"/>
  <c r="I7" i="9"/>
  <c r="H12" i="9"/>
  <c r="J12" i="9"/>
  <c r="H14" i="42"/>
  <c r="H14" i="9"/>
  <c r="J14" i="9"/>
  <c r="I14" i="9"/>
  <c r="H20" i="42"/>
  <c r="H20" i="9"/>
  <c r="J20" i="9"/>
  <c r="H16" i="42"/>
  <c r="H16" i="9"/>
  <c r="J16" i="9"/>
  <c r="H21" i="42"/>
  <c r="J21" i="9"/>
  <c r="H21" i="9"/>
  <c r="H9" i="9"/>
  <c r="J9" i="9"/>
  <c r="H12" i="43"/>
  <c r="I11" i="9"/>
  <c r="H11" i="42"/>
  <c r="H11" i="9"/>
  <c r="J11" i="9"/>
  <c r="H10" i="42"/>
  <c r="J10" i="9"/>
  <c r="H10" i="9"/>
  <c r="H4" i="42"/>
  <c r="H4" i="9"/>
  <c r="J4" i="9"/>
  <c r="J3" i="9"/>
  <c r="H3" i="9"/>
  <c r="H6" i="9"/>
  <c r="J6" i="9"/>
  <c r="I5" i="9"/>
  <c r="H5" i="9"/>
  <c r="J5" i="9"/>
  <c r="N7" i="47"/>
  <c r="K4" i="47"/>
  <c r="K21" i="47"/>
  <c r="K3" i="47"/>
  <c r="M3" i="47"/>
  <c r="N11" i="47"/>
  <c r="N17" i="47"/>
  <c r="M10" i="47"/>
  <c r="N6" i="47"/>
  <c r="M19" i="47"/>
  <c r="N16" i="47"/>
  <c r="N20" i="47"/>
  <c r="M5" i="47"/>
  <c r="L14" i="47"/>
  <c r="K7" i="47"/>
  <c r="L9" i="47"/>
  <c r="K18" i="47"/>
  <c r="K16" i="47"/>
  <c r="L10" i="47"/>
  <c r="L12" i="47"/>
  <c r="K13" i="47"/>
  <c r="K20" i="47"/>
  <c r="K15" i="47"/>
  <c r="N12" i="47"/>
  <c r="N8" i="47"/>
  <c r="N15" i="47"/>
  <c r="N9" i="47"/>
  <c r="M13" i="47"/>
  <c r="N18" i="47"/>
  <c r="H12" i="44"/>
  <c r="I7" i="43"/>
  <c r="H7" i="42"/>
  <c r="J7" i="43"/>
  <c r="H7" i="43"/>
  <c r="J21" i="43"/>
  <c r="J12" i="43"/>
  <c r="J11" i="43"/>
  <c r="H21" i="44"/>
  <c r="H3" i="43"/>
  <c r="H17" i="43"/>
  <c r="H17" i="44"/>
  <c r="J17" i="43"/>
  <c r="I17" i="43"/>
  <c r="H15" i="44"/>
  <c r="J15" i="43"/>
  <c r="H15" i="43"/>
  <c r="H15" i="42"/>
  <c r="H9" i="43"/>
  <c r="H9" i="42"/>
  <c r="H9" i="44"/>
  <c r="J9" i="43"/>
  <c r="H4" i="44"/>
  <c r="J4" i="43"/>
  <c r="H4" i="43"/>
  <c r="H6" i="43"/>
  <c r="H6" i="42"/>
  <c r="H6" i="44"/>
  <c r="J6" i="43"/>
  <c r="H20" i="44"/>
  <c r="J20" i="43"/>
  <c r="H20" i="43"/>
  <c r="H8" i="43"/>
  <c r="H8" i="44"/>
  <c r="J8" i="43"/>
  <c r="J13" i="43"/>
  <c r="H13" i="43"/>
  <c r="H13" i="44"/>
  <c r="H19" i="44"/>
  <c r="J19" i="43"/>
  <c r="I19" i="43"/>
  <c r="H19" i="43"/>
  <c r="H16" i="44"/>
  <c r="J16" i="43"/>
  <c r="H16" i="43"/>
  <c r="H18" i="44"/>
  <c r="J18" i="43"/>
  <c r="I18" i="43"/>
  <c r="H18" i="43"/>
  <c r="J14" i="43"/>
  <c r="I14" i="43"/>
  <c r="H14" i="43"/>
  <c r="H14" i="44"/>
  <c r="EB4" i="72" l="1"/>
  <c r="EB5" i="72"/>
  <c r="EB6" i="72"/>
  <c r="EB7" i="72"/>
  <c r="EB8" i="72"/>
  <c r="EB9" i="72"/>
  <c r="EB10" i="72"/>
  <c r="EB11" i="72"/>
  <c r="EB12" i="72"/>
  <c r="EB13" i="72"/>
  <c r="EB14" i="72"/>
  <c r="EB15" i="72"/>
  <c r="EB16" i="72"/>
  <c r="EB17" i="72"/>
  <c r="EB18" i="72"/>
  <c r="EB19" i="72"/>
  <c r="EB20" i="72"/>
  <c r="EB21" i="72"/>
  <c r="EB3" i="72"/>
  <c r="DP4" i="72"/>
  <c r="DP5" i="72"/>
  <c r="DP6" i="72"/>
  <c r="DP7" i="72"/>
  <c r="DP8" i="72"/>
  <c r="DP9" i="72"/>
  <c r="DP10" i="72"/>
  <c r="DP11" i="72"/>
  <c r="DP12" i="72"/>
  <c r="DP13" i="72"/>
  <c r="DP14" i="72"/>
  <c r="DP15" i="72"/>
  <c r="DP16" i="72"/>
  <c r="DP17" i="72"/>
  <c r="DP18" i="72"/>
  <c r="DP19" i="72"/>
  <c r="DP20" i="72"/>
  <c r="DP21" i="72"/>
  <c r="DP3" i="72"/>
  <c r="DH4" i="72"/>
  <c r="DH5" i="72"/>
  <c r="DH6" i="72"/>
  <c r="DH7" i="72"/>
  <c r="DH8" i="72"/>
  <c r="DH9" i="72"/>
  <c r="DH10" i="72"/>
  <c r="DH11" i="72"/>
  <c r="DH12" i="72"/>
  <c r="DH13" i="72"/>
  <c r="DH14" i="72"/>
  <c r="DH15" i="72"/>
  <c r="DH16" i="72"/>
  <c r="DH17" i="72"/>
  <c r="DH18" i="72"/>
  <c r="DH19" i="72"/>
  <c r="DH20" i="72"/>
  <c r="DH21" i="72"/>
  <c r="DH3" i="72"/>
  <c r="CR4" i="72"/>
  <c r="CR5" i="72"/>
  <c r="CR6" i="72"/>
  <c r="CR7" i="72"/>
  <c r="CR8" i="72"/>
  <c r="CR9" i="72"/>
  <c r="CR10" i="72"/>
  <c r="CR11" i="72"/>
  <c r="CR12" i="72"/>
  <c r="CR13" i="72"/>
  <c r="CR14" i="72"/>
  <c r="CR15" i="72"/>
  <c r="CR16" i="72"/>
  <c r="CR17" i="72"/>
  <c r="CR18" i="72"/>
  <c r="CR19" i="72"/>
  <c r="CR20" i="72"/>
  <c r="CR21" i="72"/>
  <c r="CR3" i="72"/>
  <c r="CJ4" i="72"/>
  <c r="CJ5" i="72"/>
  <c r="CJ6" i="72"/>
  <c r="CJ7" i="72"/>
  <c r="CJ8" i="72"/>
  <c r="CJ9" i="72"/>
  <c r="CJ10" i="72"/>
  <c r="CJ11" i="72"/>
  <c r="CJ12" i="72"/>
  <c r="CJ13" i="72"/>
  <c r="CJ14" i="72"/>
  <c r="CJ15" i="72"/>
  <c r="CJ16" i="72"/>
  <c r="CJ17" i="72"/>
  <c r="CJ18" i="72"/>
  <c r="CJ19" i="72"/>
  <c r="CJ20" i="72"/>
  <c r="CJ21" i="72"/>
  <c r="CJ3" i="72"/>
  <c r="CB4" i="72"/>
  <c r="CB5" i="72"/>
  <c r="CB6" i="72"/>
  <c r="CB7" i="72"/>
  <c r="CB8" i="72"/>
  <c r="CB9" i="72"/>
  <c r="CB10" i="72"/>
  <c r="CB11" i="72"/>
  <c r="CB12" i="72"/>
  <c r="CB13" i="72"/>
  <c r="CB14" i="72"/>
  <c r="CB15" i="72"/>
  <c r="CB16" i="72"/>
  <c r="CB17" i="72"/>
  <c r="CB18" i="72"/>
  <c r="CB19" i="72"/>
  <c r="CB20" i="72"/>
  <c r="CB21" i="72"/>
  <c r="CB3" i="72"/>
  <c r="BT4" i="72"/>
  <c r="BT5" i="72"/>
  <c r="BT6" i="72"/>
  <c r="BT7" i="72"/>
  <c r="BT8" i="72"/>
  <c r="BT9" i="72"/>
  <c r="BT10" i="72"/>
  <c r="BT11" i="72"/>
  <c r="BT12" i="72"/>
  <c r="BT13" i="72"/>
  <c r="BT14" i="72"/>
  <c r="BT15" i="72"/>
  <c r="BT16" i="72"/>
  <c r="BT17" i="72"/>
  <c r="BT18" i="72"/>
  <c r="BT19" i="72"/>
  <c r="BT20" i="72"/>
  <c r="BT21" i="72"/>
  <c r="BT3" i="72"/>
  <c r="BD4" i="72"/>
  <c r="BD5" i="72"/>
  <c r="BD6" i="72"/>
  <c r="BD7" i="72"/>
  <c r="BD8" i="72"/>
  <c r="BD9" i="72"/>
  <c r="BD10" i="72"/>
  <c r="BD11" i="72"/>
  <c r="BD12" i="72"/>
  <c r="BD13" i="72"/>
  <c r="BD14" i="72"/>
  <c r="BD15" i="72"/>
  <c r="BD16" i="72"/>
  <c r="BD17" i="72"/>
  <c r="BD18" i="72"/>
  <c r="BD19" i="72"/>
  <c r="BD20" i="72"/>
  <c r="BD21" i="72"/>
  <c r="BD3" i="72"/>
  <c r="AV4" i="72"/>
  <c r="AV5" i="72"/>
  <c r="AV6" i="72"/>
  <c r="AV7" i="72"/>
  <c r="AV8" i="72"/>
  <c r="AV9" i="72"/>
  <c r="AV10" i="72"/>
  <c r="AV11" i="72"/>
  <c r="AV12" i="72"/>
  <c r="AV13" i="72"/>
  <c r="AV14" i="72"/>
  <c r="AV15" i="72"/>
  <c r="AV16" i="72"/>
  <c r="AV17" i="72"/>
  <c r="AV18" i="72"/>
  <c r="AV19" i="72"/>
  <c r="AV20" i="72"/>
  <c r="AV21" i="72"/>
  <c r="AV3" i="72"/>
  <c r="AN4" i="72"/>
  <c r="AN5" i="72"/>
  <c r="AN6" i="72"/>
  <c r="AN7" i="72"/>
  <c r="AN8" i="72"/>
  <c r="AN9" i="72"/>
  <c r="AN10" i="72"/>
  <c r="AN11" i="72"/>
  <c r="AN12" i="72"/>
  <c r="AN13" i="72"/>
  <c r="AN14" i="72"/>
  <c r="AN15" i="72"/>
  <c r="AN16" i="72"/>
  <c r="AN17" i="72"/>
  <c r="AN18" i="72"/>
  <c r="AN19" i="72"/>
  <c r="AN20" i="72"/>
  <c r="AN21" i="72"/>
  <c r="AN3" i="72"/>
  <c r="AF4" i="72"/>
  <c r="AF5" i="72"/>
  <c r="AF6" i="72"/>
  <c r="AF7" i="72"/>
  <c r="AF8" i="72"/>
  <c r="AF9" i="72"/>
  <c r="AF10" i="72"/>
  <c r="AF11" i="72"/>
  <c r="AF12" i="72"/>
  <c r="AF13" i="72"/>
  <c r="AF14" i="72"/>
  <c r="AF15" i="72"/>
  <c r="AF16" i="72"/>
  <c r="AF17" i="72"/>
  <c r="AF18" i="72"/>
  <c r="AF19" i="72"/>
  <c r="AF20" i="72"/>
  <c r="AF21" i="72"/>
  <c r="AF3" i="72"/>
  <c r="B21" i="72"/>
  <c r="B20" i="72"/>
  <c r="E17" i="72"/>
  <c r="CB22" i="72" l="1"/>
  <c r="AF22" i="72"/>
  <c r="DH22" i="72"/>
  <c r="AN22" i="72"/>
  <c r="DP22" i="72"/>
  <c r="CR22" i="72"/>
  <c r="BD22" i="72"/>
  <c r="AV22" i="72"/>
  <c r="CJ22" i="72"/>
  <c r="BT22" i="72"/>
  <c r="H4" i="68" l="1"/>
  <c r="H5" i="68"/>
  <c r="H6" i="68"/>
  <c r="H7" i="68"/>
  <c r="H8" i="68"/>
  <c r="H9" i="68"/>
  <c r="H10" i="68"/>
  <c r="H11" i="68"/>
  <c r="H12" i="68"/>
  <c r="H13" i="68"/>
  <c r="H14" i="68"/>
  <c r="H15" i="68"/>
  <c r="H16" i="68"/>
  <c r="H17" i="68"/>
  <c r="H18" i="68"/>
  <c r="H19" i="68"/>
  <c r="H20" i="68"/>
  <c r="H21" i="68"/>
  <c r="H22" i="68"/>
  <c r="H3" i="68"/>
  <c r="M4" i="65"/>
  <c r="M5" i="65"/>
  <c r="M6" i="65"/>
  <c r="M7" i="65"/>
  <c r="M8" i="65"/>
  <c r="M9" i="65"/>
  <c r="M10" i="65"/>
  <c r="M11" i="65"/>
  <c r="M12" i="65"/>
  <c r="M13" i="65"/>
  <c r="M14" i="65"/>
  <c r="M15" i="65"/>
  <c r="M16" i="65"/>
  <c r="M17" i="65"/>
  <c r="M18" i="65"/>
  <c r="M19" i="65"/>
  <c r="M20" i="65"/>
  <c r="M21" i="65"/>
  <c r="M22" i="65"/>
  <c r="M3" i="65"/>
  <c r="M4" i="64" l="1"/>
  <c r="M5" i="64"/>
  <c r="M6" i="64"/>
  <c r="M7" i="64"/>
  <c r="M8" i="64"/>
  <c r="M9" i="64"/>
  <c r="M10" i="64"/>
  <c r="M11" i="64"/>
  <c r="M12" i="64"/>
  <c r="M13" i="64"/>
  <c r="M14" i="64"/>
  <c r="M15" i="64"/>
  <c r="M16" i="64"/>
  <c r="M17" i="64"/>
  <c r="M18" i="64"/>
  <c r="M19" i="64"/>
  <c r="M20" i="64"/>
  <c r="M21" i="64"/>
  <c r="M22" i="64"/>
  <c r="M3" i="64"/>
  <c r="V4" i="47" l="1"/>
  <c r="V5" i="47"/>
  <c r="V6" i="47"/>
  <c r="V7" i="47"/>
  <c r="V8" i="47"/>
  <c r="V9" i="47"/>
  <c r="V10" i="47"/>
  <c r="V11" i="47"/>
  <c r="V12" i="47"/>
  <c r="V13" i="47"/>
  <c r="V14" i="47"/>
  <c r="V15" i="47"/>
  <c r="V16" i="47"/>
  <c r="V17" i="47"/>
  <c r="V18" i="47"/>
  <c r="V19" i="47"/>
  <c r="V20" i="47"/>
  <c r="V21" i="47"/>
  <c r="V3" i="47"/>
  <c r="AI21" i="43" l="1"/>
  <c r="AI21" i="42"/>
  <c r="AI21" i="9"/>
  <c r="AI21" i="44"/>
  <c r="V9" i="43"/>
  <c r="V9" i="42"/>
  <c r="V9" i="9"/>
  <c r="V9" i="44"/>
  <c r="AF11" i="44"/>
  <c r="AF11" i="43"/>
  <c r="AF11" i="42"/>
  <c r="AF11" i="9"/>
  <c r="O13" i="44"/>
  <c r="O13" i="43"/>
  <c r="O13" i="42"/>
  <c r="O13" i="9"/>
  <c r="L21" i="9"/>
  <c r="L21" i="44"/>
  <c r="L21" i="43"/>
  <c r="L21" i="42"/>
  <c r="Y9" i="9"/>
  <c r="Y9" i="44"/>
  <c r="Y9" i="43"/>
  <c r="Y9" i="42"/>
  <c r="L19" i="9"/>
  <c r="L19" i="44"/>
  <c r="L19" i="43"/>
  <c r="L19" i="42"/>
  <c r="Y16" i="42"/>
  <c r="Y16" i="44"/>
  <c r="Y16" i="43"/>
  <c r="Y16" i="9"/>
  <c r="V5" i="42"/>
  <c r="V5" i="44"/>
  <c r="V5" i="43"/>
  <c r="V5" i="9"/>
  <c r="O14" i="9"/>
  <c r="O14" i="44"/>
  <c r="O14" i="43"/>
  <c r="O14" i="42"/>
  <c r="Y20" i="43"/>
  <c r="Y20" i="42"/>
  <c r="Y20" i="9"/>
  <c r="Y20" i="44"/>
  <c r="V6" i="9"/>
  <c r="V6" i="44"/>
  <c r="V6" i="43"/>
  <c r="V6" i="42"/>
  <c r="Q3" i="43"/>
  <c r="Q3" i="42"/>
  <c r="Q3" i="9"/>
  <c r="Q3" i="44"/>
  <c r="O21" i="44"/>
  <c r="O21" i="43"/>
  <c r="O21" i="42"/>
  <c r="O21" i="9"/>
  <c r="L4" i="42"/>
  <c r="L4" i="44"/>
  <c r="L4" i="9"/>
  <c r="L4" i="43"/>
  <c r="AI7" i="44"/>
  <c r="AI7" i="43"/>
  <c r="AI7" i="42"/>
  <c r="AI7" i="9"/>
  <c r="AF8" i="43"/>
  <c r="AF8" i="42"/>
  <c r="AF8" i="9"/>
  <c r="AF8" i="44"/>
  <c r="AA9" i="44"/>
  <c r="AA9" i="43"/>
  <c r="AA9" i="42"/>
  <c r="AA9" i="9"/>
  <c r="Y17" i="9"/>
  <c r="Y17" i="44"/>
  <c r="Y17" i="42"/>
  <c r="Y17" i="43"/>
  <c r="V18" i="44"/>
  <c r="V18" i="43"/>
  <c r="V18" i="42"/>
  <c r="V18" i="9"/>
  <c r="Q10" i="42"/>
  <c r="Q10" i="44"/>
  <c r="Q10" i="43"/>
  <c r="Q10" i="9"/>
  <c r="O19" i="43"/>
  <c r="O19" i="42"/>
  <c r="O19" i="9"/>
  <c r="O19" i="44"/>
  <c r="L11" i="9"/>
  <c r="L11" i="44"/>
  <c r="L11" i="43"/>
  <c r="L11" i="42"/>
  <c r="AF12" i="44"/>
  <c r="AF12" i="43"/>
  <c r="AF12" i="42"/>
  <c r="AF12" i="9"/>
  <c r="AA16" i="44"/>
  <c r="AA16" i="43"/>
  <c r="AA16" i="42"/>
  <c r="AA16" i="9"/>
  <c r="Y5" i="44"/>
  <c r="Y5" i="43"/>
  <c r="Y5" i="42"/>
  <c r="Y5" i="9"/>
  <c r="V13" i="42"/>
  <c r="V13" i="44"/>
  <c r="V13" i="43"/>
  <c r="V13" i="9"/>
  <c r="Q14" i="43"/>
  <c r="Q14" i="42"/>
  <c r="Q14" i="9"/>
  <c r="Q14" i="44"/>
  <c r="O15" i="42"/>
  <c r="O15" i="44"/>
  <c r="O15" i="43"/>
  <c r="O15" i="9"/>
  <c r="AA7" i="43"/>
  <c r="AA7" i="42"/>
  <c r="AA7" i="9"/>
  <c r="AA7" i="44"/>
  <c r="L10" i="44"/>
  <c r="L10" i="43"/>
  <c r="L10" i="42"/>
  <c r="L10" i="9"/>
  <c r="V20" i="9"/>
  <c r="V20" i="44"/>
  <c r="V20" i="43"/>
  <c r="V20" i="42"/>
  <c r="V17" i="43"/>
  <c r="V17" i="42"/>
  <c r="V17" i="9"/>
  <c r="V17" i="44"/>
  <c r="AA12" i="9"/>
  <c r="AA12" i="44"/>
  <c r="AA12" i="42"/>
  <c r="AA12" i="43"/>
  <c r="Q13" i="44"/>
  <c r="Q13" i="42"/>
  <c r="Q13" i="9"/>
  <c r="Q13" i="43"/>
  <c r="L15" i="44"/>
  <c r="L15" i="42"/>
  <c r="L15" i="9"/>
  <c r="L15" i="43"/>
  <c r="AA20" i="9"/>
  <c r="AA20" i="44"/>
  <c r="AA20" i="43"/>
  <c r="AA20" i="42"/>
  <c r="Y6" i="44"/>
  <c r="Y6" i="43"/>
  <c r="Y6" i="42"/>
  <c r="Y6" i="9"/>
  <c r="V3" i="9"/>
  <c r="V3" i="44"/>
  <c r="V3" i="42"/>
  <c r="V3" i="43"/>
  <c r="Q21" i="44"/>
  <c r="Q21" i="42"/>
  <c r="Q21" i="9"/>
  <c r="Q21" i="43"/>
  <c r="O4" i="44"/>
  <c r="O4" i="43"/>
  <c r="O4" i="42"/>
  <c r="O4" i="9"/>
  <c r="L7" i="44"/>
  <c r="L7" i="42"/>
  <c r="L7" i="9"/>
  <c r="L7" i="43"/>
  <c r="AI8" i="9"/>
  <c r="AI8" i="44"/>
  <c r="AI8" i="43"/>
  <c r="AI8" i="42"/>
  <c r="AF9" i="44"/>
  <c r="AF9" i="42"/>
  <c r="AF9" i="9"/>
  <c r="AF9" i="43"/>
  <c r="AA17" i="44"/>
  <c r="AA17" i="43"/>
  <c r="AA17" i="42"/>
  <c r="AA17" i="9"/>
  <c r="Y18" i="43"/>
  <c r="Y18" i="42"/>
  <c r="Y18" i="9"/>
  <c r="Y18" i="44"/>
  <c r="V10" i="44"/>
  <c r="V10" i="43"/>
  <c r="V10" i="42"/>
  <c r="V10" i="9"/>
  <c r="Q19" i="9"/>
  <c r="Q19" i="44"/>
  <c r="Q19" i="42"/>
  <c r="Q19" i="43"/>
  <c r="O11" i="43"/>
  <c r="O11" i="42"/>
  <c r="O11" i="9"/>
  <c r="O11" i="44"/>
  <c r="AI12" i="44"/>
  <c r="AI12" i="42"/>
  <c r="AI12" i="9"/>
  <c r="AI12" i="43"/>
  <c r="AF16" i="43"/>
  <c r="AF16" i="42"/>
  <c r="AF16" i="9"/>
  <c r="AF16" i="44"/>
  <c r="AA5" i="43"/>
  <c r="AA5" i="42"/>
  <c r="AA5" i="9"/>
  <c r="AA5" i="44"/>
  <c r="Y13" i="44"/>
  <c r="Y13" i="43"/>
  <c r="Y13" i="42"/>
  <c r="Y13" i="9"/>
  <c r="V14" i="9"/>
  <c r="V14" i="44"/>
  <c r="V14" i="43"/>
  <c r="V14" i="42"/>
  <c r="Q15" i="44"/>
  <c r="Q15" i="43"/>
  <c r="Q15" i="42"/>
  <c r="Q15" i="9"/>
  <c r="O6" i="9"/>
  <c r="O6" i="44"/>
  <c r="O6" i="43"/>
  <c r="O6" i="42"/>
  <c r="AF4" i="44"/>
  <c r="AF4" i="43"/>
  <c r="AF4" i="9"/>
  <c r="AF4" i="42"/>
  <c r="O18" i="44"/>
  <c r="O18" i="42"/>
  <c r="O18" i="9"/>
  <c r="O18" i="43"/>
  <c r="Y12" i="43"/>
  <c r="Y12" i="42"/>
  <c r="Y12" i="9"/>
  <c r="Y12" i="44"/>
  <c r="L14" i="43"/>
  <c r="L14" i="42"/>
  <c r="L14" i="9"/>
  <c r="L14" i="44"/>
  <c r="AF7" i="9"/>
  <c r="AF7" i="44"/>
  <c r="AF7" i="42"/>
  <c r="AF7" i="43"/>
  <c r="Q18" i="42"/>
  <c r="Q18" i="44"/>
  <c r="Q18" i="9"/>
  <c r="Q18" i="43"/>
  <c r="AI11" i="43"/>
  <c r="AI11" i="42"/>
  <c r="AI11" i="9"/>
  <c r="AI11" i="44"/>
  <c r="V21" i="42"/>
  <c r="V21" i="44"/>
  <c r="V21" i="9"/>
  <c r="V21" i="43"/>
  <c r="L8" i="43"/>
  <c r="L8" i="42"/>
  <c r="L8" i="9"/>
  <c r="L8" i="44"/>
  <c r="AF17" i="44"/>
  <c r="AF17" i="42"/>
  <c r="AF17" i="9"/>
  <c r="AF17" i="43"/>
  <c r="V19" i="44"/>
  <c r="V19" i="43"/>
  <c r="V19" i="42"/>
  <c r="V19" i="9"/>
  <c r="AI16" i="9"/>
  <c r="AI16" i="44"/>
  <c r="AI16" i="43"/>
  <c r="AI16" i="42"/>
  <c r="AA13" i="43"/>
  <c r="AA13" i="42"/>
  <c r="AA13" i="9"/>
  <c r="AA13" i="44"/>
  <c r="Y14" i="44"/>
  <c r="Y14" i="43"/>
  <c r="Y14" i="42"/>
  <c r="Y14" i="9"/>
  <c r="V15" i="43"/>
  <c r="V15" i="42"/>
  <c r="V15" i="9"/>
  <c r="V15" i="44"/>
  <c r="AI20" i="44"/>
  <c r="AI20" i="42"/>
  <c r="AI20" i="9"/>
  <c r="AI20" i="43"/>
  <c r="AF6" i="42"/>
  <c r="AF6" i="44"/>
  <c r="AF6" i="9"/>
  <c r="AF6" i="43"/>
  <c r="AA3" i="44"/>
  <c r="AA3" i="42"/>
  <c r="AA3" i="9"/>
  <c r="AA3" i="43"/>
  <c r="Y21" i="44"/>
  <c r="Y21" i="43"/>
  <c r="Y21" i="42"/>
  <c r="Y21" i="9"/>
  <c r="V4" i="9"/>
  <c r="V4" i="44"/>
  <c r="V4" i="43"/>
  <c r="V4" i="42"/>
  <c r="Q7" i="44"/>
  <c r="Q7" i="43"/>
  <c r="Q7" i="42"/>
  <c r="Q7" i="9"/>
  <c r="O8" i="9"/>
  <c r="O8" i="44"/>
  <c r="O8" i="43"/>
  <c r="O8" i="42"/>
  <c r="L9" i="44"/>
  <c r="L9" i="43"/>
  <c r="L9" i="42"/>
  <c r="L9" i="9"/>
  <c r="AI17" i="42"/>
  <c r="AI17" i="44"/>
  <c r="AI17" i="43"/>
  <c r="AI17" i="9"/>
  <c r="AF18" i="43"/>
  <c r="AF18" i="42"/>
  <c r="AF18" i="9"/>
  <c r="AF18" i="44"/>
  <c r="AA10" i="9"/>
  <c r="AA10" i="44"/>
  <c r="AA10" i="43"/>
  <c r="AA10" i="42"/>
  <c r="Y19" i="44"/>
  <c r="Y19" i="42"/>
  <c r="Y19" i="9"/>
  <c r="Y19" i="43"/>
  <c r="V11" i="44"/>
  <c r="V11" i="43"/>
  <c r="V11" i="9"/>
  <c r="V11" i="42"/>
  <c r="O12" i="44"/>
  <c r="O12" i="43"/>
  <c r="O12" i="42"/>
  <c r="O12" i="9"/>
  <c r="L16" i="43"/>
  <c r="L16" i="42"/>
  <c r="L16" i="9"/>
  <c r="L16" i="44"/>
  <c r="AI5" i="43"/>
  <c r="AI5" i="42"/>
  <c r="AI5" i="9"/>
  <c r="AI5" i="44"/>
  <c r="AF13" i="9"/>
  <c r="AF13" i="44"/>
  <c r="AF13" i="43"/>
  <c r="AF13" i="42"/>
  <c r="AA14" i="44"/>
  <c r="AA14" i="42"/>
  <c r="AA14" i="9"/>
  <c r="AA14" i="43"/>
  <c r="Y15" i="9"/>
  <c r="Y15" i="44"/>
  <c r="Y15" i="43"/>
  <c r="Y15" i="42"/>
  <c r="Q20" i="43"/>
  <c r="Q20" i="42"/>
  <c r="Q20" i="9"/>
  <c r="Q20" i="44"/>
  <c r="L3" i="43"/>
  <c r="L3" i="42"/>
  <c r="L3" i="9"/>
  <c r="L3" i="44"/>
  <c r="Q17" i="9"/>
  <c r="Q17" i="44"/>
  <c r="Q17" i="43"/>
  <c r="Q17" i="42"/>
  <c r="AI19" i="43"/>
  <c r="AI19" i="42"/>
  <c r="AI19" i="9"/>
  <c r="AI19" i="44"/>
  <c r="Q5" i="44"/>
  <c r="Q5" i="42"/>
  <c r="Q5" i="9"/>
  <c r="Q5" i="43"/>
  <c r="Q6" i="43"/>
  <c r="Q6" i="42"/>
  <c r="Q6" i="9"/>
  <c r="Q6" i="44"/>
  <c r="AI4" i="44"/>
  <c r="AI4" i="42"/>
  <c r="AI4" i="9"/>
  <c r="AI4" i="43"/>
  <c r="AF20" i="44"/>
  <c r="AF20" i="43"/>
  <c r="AF20" i="42"/>
  <c r="AF20" i="9"/>
  <c r="O7" i="42"/>
  <c r="O7" i="44"/>
  <c r="O7" i="9"/>
  <c r="O7" i="43"/>
  <c r="AI9" i="42"/>
  <c r="AI9" i="44"/>
  <c r="AI9" i="43"/>
  <c r="AI9" i="9"/>
  <c r="Y10" i="43"/>
  <c r="Y10" i="42"/>
  <c r="Y10" i="9"/>
  <c r="Y10" i="44"/>
  <c r="L12" i="42"/>
  <c r="L12" i="44"/>
  <c r="L12" i="43"/>
  <c r="L12" i="9"/>
  <c r="AF5" i="9"/>
  <c r="AF5" i="44"/>
  <c r="AF5" i="43"/>
  <c r="AF5" i="42"/>
  <c r="L20" i="42"/>
  <c r="L20" i="44"/>
  <c r="L20" i="43"/>
  <c r="L20" i="9"/>
  <c r="AI6" i="44"/>
  <c r="AI6" i="43"/>
  <c r="AI6" i="42"/>
  <c r="AI6" i="9"/>
  <c r="AF3" i="42"/>
  <c r="AF3" i="44"/>
  <c r="AF3" i="43"/>
  <c r="AF3" i="9"/>
  <c r="AA21" i="43"/>
  <c r="AA21" i="42"/>
  <c r="AA21" i="9"/>
  <c r="AA21" i="44"/>
  <c r="Y4" i="43"/>
  <c r="Y4" i="42"/>
  <c r="Y4" i="9"/>
  <c r="Y4" i="44"/>
  <c r="V7" i="43"/>
  <c r="V7" i="42"/>
  <c r="V7" i="9"/>
  <c r="V7" i="44"/>
  <c r="Q8" i="44"/>
  <c r="Q8" i="43"/>
  <c r="Q8" i="42"/>
  <c r="Q8" i="9"/>
  <c r="O9" i="43"/>
  <c r="O9" i="42"/>
  <c r="O9" i="9"/>
  <c r="O9" i="44"/>
  <c r="L17" i="44"/>
  <c r="L17" i="43"/>
  <c r="L17" i="42"/>
  <c r="L17" i="9"/>
  <c r="AI18" i="9"/>
  <c r="AI18" i="44"/>
  <c r="AI18" i="43"/>
  <c r="AI18" i="42"/>
  <c r="AF10" i="43"/>
  <c r="AF10" i="42"/>
  <c r="AF10" i="9"/>
  <c r="AF10" i="44"/>
  <c r="AA19" i="42"/>
  <c r="AA19" i="44"/>
  <c r="AA19" i="43"/>
  <c r="AA19" i="9"/>
  <c r="Y11" i="44"/>
  <c r="Y11" i="42"/>
  <c r="Y11" i="9"/>
  <c r="Y11" i="43"/>
  <c r="Q12" i="43"/>
  <c r="Q12" i="42"/>
  <c r="Q12" i="9"/>
  <c r="Q12" i="44"/>
  <c r="O16" i="9"/>
  <c r="O16" i="44"/>
  <c r="O16" i="43"/>
  <c r="O16" i="42"/>
  <c r="L5" i="9"/>
  <c r="L5" i="42"/>
  <c r="L5" i="43"/>
  <c r="L5" i="44"/>
  <c r="AI13" i="43"/>
  <c r="AI13" i="42"/>
  <c r="AI13" i="9"/>
  <c r="AI13" i="44"/>
  <c r="AF14" i="42"/>
  <c r="AF14" i="44"/>
  <c r="AF14" i="9"/>
  <c r="AF14" i="43"/>
  <c r="AA15" i="43"/>
  <c r="AA15" i="42"/>
  <c r="AA15" i="9"/>
  <c r="AA15" i="44"/>
  <c r="Y8" i="42"/>
  <c r="Y8" i="44"/>
  <c r="Y8" i="43"/>
  <c r="Y8" i="9"/>
  <c r="V16" i="44"/>
  <c r="V16" i="42"/>
  <c r="V16" i="9"/>
  <c r="V16" i="43"/>
  <c r="AI15" i="44"/>
  <c r="AI15" i="43"/>
  <c r="AI15" i="42"/>
  <c r="AI15" i="9"/>
  <c r="O3" i="9"/>
  <c r="O3" i="44"/>
  <c r="O3" i="43"/>
  <c r="O3" i="42"/>
  <c r="AA8" i="44"/>
  <c r="AA8" i="43"/>
  <c r="AA8" i="42"/>
  <c r="AA8" i="9"/>
  <c r="O10" i="44"/>
  <c r="O10" i="42"/>
  <c r="O10" i="9"/>
  <c r="O10" i="43"/>
  <c r="AA6" i="44"/>
  <c r="AA6" i="42"/>
  <c r="AA6" i="9"/>
  <c r="AA6" i="43"/>
  <c r="Y3" i="44"/>
  <c r="Y3" i="43"/>
  <c r="Y3" i="42"/>
  <c r="Y3" i="9"/>
  <c r="Q4" i="43"/>
  <c r="Q4" i="42"/>
  <c r="Q4" i="9"/>
  <c r="Q4" i="44"/>
  <c r="AA18" i="9"/>
  <c r="AA18" i="44"/>
  <c r="AA18" i="43"/>
  <c r="AA18" i="42"/>
  <c r="Q11" i="9"/>
  <c r="Q11" i="44"/>
  <c r="Q11" i="43"/>
  <c r="Q11" i="42"/>
  <c r="O20" i="44"/>
  <c r="O20" i="43"/>
  <c r="O20" i="42"/>
  <c r="O20" i="9"/>
  <c r="L6" i="43"/>
  <c r="L6" i="42"/>
  <c r="L6" i="9"/>
  <c r="L6" i="44"/>
  <c r="AI3" i="44"/>
  <c r="AI3" i="43"/>
  <c r="AI3" i="42"/>
  <c r="AI3" i="9"/>
  <c r="AF21" i="9"/>
  <c r="AF21" i="44"/>
  <c r="AF21" i="43"/>
  <c r="AF21" i="42"/>
  <c r="AA4" i="9"/>
  <c r="AA4" i="44"/>
  <c r="AA4" i="42"/>
  <c r="AA4" i="43"/>
  <c r="Y7" i="9"/>
  <c r="Y7" i="44"/>
  <c r="Y7" i="43"/>
  <c r="Y7" i="42"/>
  <c r="V8" i="44"/>
  <c r="V8" i="42"/>
  <c r="V8" i="9"/>
  <c r="V8" i="43"/>
  <c r="Q9" i="9"/>
  <c r="Q9" i="44"/>
  <c r="Q9" i="43"/>
  <c r="Q9" i="42"/>
  <c r="O17" i="43"/>
  <c r="O17" i="42"/>
  <c r="O17" i="9"/>
  <c r="O17" i="44"/>
  <c r="L18" i="44"/>
  <c r="L18" i="43"/>
  <c r="L18" i="9"/>
  <c r="L18" i="42"/>
  <c r="AI10" i="9"/>
  <c r="AI10" i="44"/>
  <c r="AI10" i="42"/>
  <c r="AI10" i="43"/>
  <c r="AF19" i="44"/>
  <c r="AF19" i="43"/>
  <c r="AF19" i="42"/>
  <c r="AF19" i="9"/>
  <c r="AA11" i="42"/>
  <c r="AA11" i="44"/>
  <c r="AA11" i="43"/>
  <c r="AA11" i="9"/>
  <c r="V12" i="9"/>
  <c r="V12" i="44"/>
  <c r="V12" i="43"/>
  <c r="V12" i="42"/>
  <c r="Q16" i="44"/>
  <c r="Q16" i="43"/>
  <c r="Q16" i="9"/>
  <c r="Q16" i="42"/>
  <c r="O5" i="44"/>
  <c r="O5" i="43"/>
  <c r="O5" i="42"/>
  <c r="O5" i="9"/>
  <c r="L13" i="9"/>
  <c r="L13" i="44"/>
  <c r="L13" i="43"/>
  <c r="L13" i="42"/>
  <c r="AI14" i="44"/>
  <c r="AI14" i="43"/>
  <c r="AI14" i="42"/>
  <c r="AI14" i="9"/>
  <c r="AF15" i="9"/>
  <c r="AF15" i="44"/>
  <c r="AF15" i="42"/>
  <c r="AF15" i="43"/>
  <c r="M22" i="63"/>
  <c r="M21" i="63"/>
  <c r="M20" i="63"/>
  <c r="M19" i="63"/>
  <c r="M18" i="63"/>
  <c r="M17" i="63"/>
  <c r="M16" i="63"/>
  <c r="M15" i="63"/>
  <c r="M14" i="63"/>
  <c r="M13" i="63"/>
  <c r="M12" i="63"/>
  <c r="M11" i="63"/>
  <c r="M10" i="63"/>
  <c r="M9" i="63"/>
  <c r="M8" i="63"/>
  <c r="M7" i="63"/>
  <c r="M6" i="63"/>
  <c r="M5" i="63"/>
  <c r="M4" i="63"/>
  <c r="M3" i="63"/>
  <c r="X17" i="72" l="1"/>
  <c r="X20" i="72"/>
  <c r="CZ12" i="72"/>
  <c r="BL18" i="72"/>
  <c r="BL16" i="72"/>
  <c r="X3" i="72"/>
  <c r="BL11" i="72"/>
  <c r="BL21" i="72"/>
  <c r="CZ9" i="72"/>
  <c r="X15" i="72"/>
  <c r="BL8" i="72"/>
  <c r="X14" i="72"/>
  <c r="X9" i="72"/>
  <c r="BL19" i="72"/>
  <c r="BL10" i="72"/>
  <c r="X10" i="72"/>
  <c r="BL13" i="72"/>
  <c r="CZ11" i="72"/>
  <c r="BL20" i="72"/>
  <c r="X6" i="72"/>
  <c r="BL15" i="72"/>
  <c r="X4" i="72"/>
  <c r="X18" i="72"/>
  <c r="CZ16" i="72"/>
  <c r="BL12" i="72"/>
  <c r="X5" i="72"/>
  <c r="CZ5" i="72"/>
  <c r="BL3" i="72"/>
  <c r="X11" i="72"/>
  <c r="X19" i="72"/>
  <c r="CZ3" i="72"/>
  <c r="X12" i="72"/>
  <c r="CZ20" i="72"/>
  <c r="CZ15" i="72"/>
  <c r="CZ17" i="72"/>
  <c r="X7" i="72"/>
  <c r="BL9" i="72"/>
  <c r="CZ10" i="72"/>
  <c r="X16" i="72"/>
  <c r="BL14" i="72"/>
  <c r="BL4" i="72"/>
  <c r="BL6" i="72"/>
  <c r="X13" i="72"/>
  <c r="BL5" i="72"/>
  <c r="CZ14" i="72"/>
  <c r="CZ6" i="72"/>
  <c r="X8" i="72"/>
  <c r="CZ4" i="72"/>
  <c r="BL17" i="72"/>
  <c r="CZ8" i="72"/>
  <c r="BL7" i="72"/>
  <c r="CZ18" i="72"/>
  <c r="CZ13" i="72"/>
  <c r="CZ19" i="72"/>
  <c r="CZ21" i="72"/>
  <c r="CZ7" i="72"/>
  <c r="X21" i="72"/>
  <c r="DL13" i="72"/>
  <c r="CF11" i="72"/>
  <c r="DL3" i="72"/>
  <c r="DL9" i="72"/>
  <c r="DL17" i="72"/>
  <c r="DL7" i="72"/>
  <c r="BX16" i="72"/>
  <c r="AJ13" i="72"/>
  <c r="AJ10" i="72"/>
  <c r="DL10" i="72"/>
  <c r="CF18" i="72"/>
  <c r="DL16" i="72"/>
  <c r="AJ6" i="72"/>
  <c r="AR19" i="72"/>
  <c r="BX11" i="72"/>
  <c r="AR6" i="72"/>
  <c r="DL14" i="72"/>
  <c r="CF8" i="72"/>
  <c r="BX8" i="72"/>
  <c r="CF19" i="72"/>
  <c r="BX21" i="72"/>
  <c r="AR15" i="72"/>
  <c r="AR14" i="72"/>
  <c r="AR4" i="72"/>
  <c r="AJ9" i="72"/>
  <c r="CF21" i="72"/>
  <c r="AJ7" i="72"/>
  <c r="AR5" i="72"/>
  <c r="AR20" i="72"/>
  <c r="DL5" i="72"/>
  <c r="BX19" i="72"/>
  <c r="DL11" i="72"/>
  <c r="BX12" i="72"/>
  <c r="AR13" i="72"/>
  <c r="BX20" i="72"/>
  <c r="BX7" i="72"/>
  <c r="DL8" i="72"/>
  <c r="BX17" i="72"/>
  <c r="BX4" i="72"/>
  <c r="AJ20" i="72"/>
  <c r="BX3" i="72"/>
  <c r="AR8" i="72"/>
  <c r="BX14" i="72"/>
  <c r="BX6" i="72"/>
  <c r="BX5" i="72"/>
  <c r="CF9" i="72"/>
  <c r="AJ21" i="72"/>
  <c r="DL20" i="72"/>
  <c r="CF15" i="72"/>
  <c r="DL19" i="72"/>
  <c r="CF3" i="72"/>
  <c r="AR18" i="72"/>
  <c r="AJ18" i="72"/>
  <c r="DL12" i="72"/>
  <c r="BX18" i="72"/>
  <c r="CF7" i="72"/>
  <c r="AJ19" i="72"/>
  <c r="AJ3" i="72"/>
  <c r="AJ16" i="72"/>
  <c r="BX15" i="72"/>
  <c r="CF10" i="72"/>
  <c r="AJ8" i="72"/>
  <c r="CF12" i="72"/>
  <c r="AJ14" i="72"/>
  <c r="BX9" i="72"/>
  <c r="CF5" i="72"/>
  <c r="AJ17" i="72"/>
  <c r="AJ5" i="72"/>
  <c r="DL15" i="72"/>
  <c r="DL6" i="72"/>
  <c r="AJ12" i="72"/>
  <c r="AR7" i="72"/>
  <c r="BX13" i="72"/>
  <c r="CF17" i="72"/>
  <c r="AJ4" i="72"/>
  <c r="AJ15" i="72"/>
  <c r="CF16" i="72"/>
  <c r="AR10" i="72"/>
  <c r="AR16" i="72"/>
  <c r="CF4" i="72"/>
  <c r="CF6" i="72"/>
  <c r="AR12" i="72"/>
  <c r="BX10" i="72"/>
  <c r="DL4" i="72"/>
  <c r="CF14" i="72"/>
  <c r="CF13" i="72"/>
  <c r="AJ11" i="72"/>
  <c r="AR3" i="72"/>
  <c r="DL21" i="72"/>
  <c r="AR21" i="72"/>
  <c r="AR9" i="72"/>
  <c r="AR11" i="72"/>
  <c r="DL18" i="72"/>
  <c r="AR17" i="72"/>
  <c r="CF20" i="72"/>
  <c r="BL22" i="72" l="1"/>
  <c r="X22" i="72"/>
  <c r="CZ22" i="72"/>
  <c r="BX22" i="72"/>
  <c r="CF22" i="72"/>
  <c r="DL22" i="72"/>
  <c r="AJ22" i="72"/>
  <c r="AR22" i="72"/>
  <c r="H3" i="72"/>
  <c r="H11" i="72"/>
  <c r="H6" i="72"/>
  <c r="H9" i="72" l="1"/>
  <c r="H7" i="72"/>
  <c r="H14" i="72"/>
  <c r="H20" i="72"/>
  <c r="H13" i="72"/>
  <c r="H10" i="72"/>
  <c r="H5" i="72"/>
  <c r="H17" i="72"/>
  <c r="H8" i="72"/>
  <c r="H19" i="72"/>
  <c r="H21" i="72"/>
  <c r="H12" i="72"/>
  <c r="H16" i="72"/>
  <c r="H4" i="72"/>
  <c r="H18" i="72"/>
  <c r="H15" i="72"/>
  <c r="H22" i="72" l="1"/>
  <c r="DV22" i="72"/>
  <c r="DR22" i="72"/>
  <c r="DS10" i="72"/>
  <c r="DS5" i="72"/>
  <c r="DS4" i="72"/>
  <c r="DS19" i="72"/>
  <c r="DU22" i="72"/>
  <c r="DS18" i="72"/>
  <c r="DS6" i="72"/>
  <c r="DS17" i="72"/>
  <c r="DS16" i="72"/>
  <c r="DS9" i="72"/>
  <c r="DS15" i="72"/>
  <c r="DS8" i="72"/>
  <c r="DS7" i="72"/>
  <c r="DS20" i="72"/>
  <c r="DS14" i="72"/>
  <c r="DS13" i="72"/>
  <c r="DS12" i="72"/>
  <c r="DS21" i="72"/>
  <c r="DS11" i="72"/>
  <c r="DQ22" i="72" l="1"/>
  <c r="DS3" i="72"/>
  <c r="DS22" i="72" s="1"/>
  <c r="AJ22" i="14" l="1"/>
  <c r="P20" i="72"/>
  <c r="P19" i="72"/>
  <c r="P18" i="72"/>
  <c r="P17" i="72"/>
  <c r="P16" i="72"/>
  <c r="P14" i="72"/>
  <c r="P13" i="72"/>
  <c r="P11" i="72"/>
  <c r="P10" i="72"/>
  <c r="P8" i="72"/>
  <c r="P4" i="72"/>
  <c r="J4" i="47"/>
  <c r="J5" i="47"/>
  <c r="J6" i="47"/>
  <c r="J7" i="47"/>
  <c r="J8" i="47"/>
  <c r="J9" i="47"/>
  <c r="J10" i="47"/>
  <c r="J11" i="47"/>
  <c r="J12" i="47"/>
  <c r="J13" i="47"/>
  <c r="J14" i="47"/>
  <c r="J15" i="47"/>
  <c r="J16" i="47"/>
  <c r="J17" i="47"/>
  <c r="J18" i="47"/>
  <c r="J19" i="47"/>
  <c r="J3" i="47"/>
  <c r="J22" i="47" l="1"/>
  <c r="B21" i="47"/>
  <c r="B20" i="47"/>
  <c r="B21" i="14"/>
  <c r="B20" i="14"/>
  <c r="B21" i="52"/>
  <c r="B20" i="52"/>
  <c r="B21" i="9"/>
  <c r="B20" i="9"/>
  <c r="B21" i="43"/>
  <c r="B20" i="43"/>
  <c r="B21" i="42"/>
  <c r="B20" i="42"/>
  <c r="B21" i="44"/>
  <c r="B20" i="44"/>
  <c r="B21" i="11"/>
  <c r="B20" i="11"/>
  <c r="B21" i="12"/>
  <c r="B20" i="12"/>
  <c r="E17" i="14"/>
  <c r="D17" i="9"/>
  <c r="B17" i="42"/>
  <c r="D17" i="42"/>
  <c r="B17" i="44"/>
  <c r="D17" i="44"/>
  <c r="E17" i="11"/>
  <c r="P21" i="72" l="1"/>
  <c r="AK20" i="9"/>
  <c r="AK20" i="14" l="1"/>
  <c r="DT20" i="72"/>
  <c r="DW20" i="72" s="1"/>
  <c r="DM4" i="72"/>
  <c r="DM5" i="72"/>
  <c r="DM6" i="72"/>
  <c r="DM7" i="72"/>
  <c r="DM8" i="72"/>
  <c r="DM9" i="72"/>
  <c r="DM10" i="72"/>
  <c r="DM11" i="72"/>
  <c r="DM12" i="72"/>
  <c r="DM13" i="72"/>
  <c r="DM14" i="72"/>
  <c r="DM15" i="72"/>
  <c r="DM16" i="72"/>
  <c r="DM17" i="72"/>
  <c r="DM18" i="72"/>
  <c r="DM19" i="72"/>
  <c r="DM20" i="72"/>
  <c r="DM21" i="72"/>
  <c r="DM3" i="72"/>
  <c r="DI4" i="72"/>
  <c r="DI5" i="72"/>
  <c r="DI6" i="72"/>
  <c r="DI7" i="72"/>
  <c r="DI8" i="72"/>
  <c r="DI9" i="72"/>
  <c r="DI10" i="72"/>
  <c r="DI11" i="72"/>
  <c r="DI12" i="72"/>
  <c r="DI13" i="72"/>
  <c r="DI14" i="72"/>
  <c r="DI15" i="72"/>
  <c r="DI16" i="72"/>
  <c r="DI17" i="72"/>
  <c r="DI18" i="72"/>
  <c r="DI19" i="72"/>
  <c r="DI20" i="72"/>
  <c r="DI21" i="72"/>
  <c r="DI3" i="72"/>
  <c r="DE4" i="72"/>
  <c r="DE5" i="72"/>
  <c r="DE6" i="72"/>
  <c r="DE7" i="72"/>
  <c r="DE8" i="72"/>
  <c r="DE9" i="72"/>
  <c r="DE10" i="72"/>
  <c r="DE11" i="72"/>
  <c r="DE12" i="72"/>
  <c r="DE13" i="72"/>
  <c r="DE14" i="72"/>
  <c r="DE15" i="72"/>
  <c r="DE16" i="72"/>
  <c r="DE17" i="72"/>
  <c r="DE18" i="72"/>
  <c r="DE19" i="72"/>
  <c r="DE20" i="72"/>
  <c r="DE21" i="72"/>
  <c r="DE3" i="72"/>
  <c r="DA4" i="72"/>
  <c r="DA5" i="72"/>
  <c r="DA6" i="72"/>
  <c r="DA7" i="72"/>
  <c r="DA8" i="72"/>
  <c r="DA9" i="72"/>
  <c r="DA10" i="72"/>
  <c r="DA11" i="72"/>
  <c r="DA12" i="72"/>
  <c r="DA13" i="72"/>
  <c r="DA14" i="72"/>
  <c r="DA15" i="72"/>
  <c r="DA16" i="72"/>
  <c r="DA17" i="72"/>
  <c r="DA18" i="72"/>
  <c r="DA19" i="72"/>
  <c r="DA20" i="72"/>
  <c r="DA21" i="72"/>
  <c r="DA3" i="72"/>
  <c r="CW4" i="72"/>
  <c r="CW5" i="72"/>
  <c r="CW6" i="72"/>
  <c r="CW7" i="72"/>
  <c r="CW8" i="72"/>
  <c r="CW9" i="72"/>
  <c r="CW10" i="72"/>
  <c r="CW11" i="72"/>
  <c r="CW12" i="72"/>
  <c r="CW13" i="72"/>
  <c r="CW14" i="72"/>
  <c r="CW15" i="72"/>
  <c r="CW16" i="72"/>
  <c r="CW17" i="72"/>
  <c r="CW18" i="72"/>
  <c r="CW19" i="72"/>
  <c r="CW20" i="72"/>
  <c r="CW21" i="72"/>
  <c r="CW3" i="72"/>
  <c r="CS4" i="72"/>
  <c r="CS5" i="72"/>
  <c r="CS6" i="72"/>
  <c r="CS7" i="72"/>
  <c r="CS8" i="72"/>
  <c r="CS9" i="72"/>
  <c r="CS10" i="72"/>
  <c r="CS11" i="72"/>
  <c r="CS12" i="72"/>
  <c r="CS13" i="72"/>
  <c r="CS14" i="72"/>
  <c r="CS15" i="72"/>
  <c r="CS16" i="72"/>
  <c r="CS17" i="72"/>
  <c r="CS18" i="72"/>
  <c r="CS19" i="72"/>
  <c r="CS20" i="72"/>
  <c r="CS21" i="72"/>
  <c r="CS3" i="72"/>
  <c r="CO4" i="72"/>
  <c r="CO5" i="72"/>
  <c r="CO6" i="72"/>
  <c r="CO7" i="72"/>
  <c r="CO8" i="72"/>
  <c r="CO9" i="72"/>
  <c r="CO10" i="72"/>
  <c r="CO11" i="72"/>
  <c r="CO12" i="72"/>
  <c r="CO13" i="72"/>
  <c r="CO14" i="72"/>
  <c r="CO15" i="72"/>
  <c r="CO16" i="72"/>
  <c r="CO17" i="72"/>
  <c r="CO18" i="72"/>
  <c r="CO19" i="72"/>
  <c r="CO20" i="72"/>
  <c r="CO21" i="72"/>
  <c r="CO3" i="72"/>
  <c r="CK4" i="72"/>
  <c r="CK5" i="72"/>
  <c r="CK6" i="72"/>
  <c r="CK7" i="72"/>
  <c r="CK8" i="72"/>
  <c r="CK9" i="72"/>
  <c r="CK10" i="72"/>
  <c r="CK11" i="72"/>
  <c r="CK12" i="72"/>
  <c r="CK13" i="72"/>
  <c r="CK14" i="72"/>
  <c r="CK15" i="72"/>
  <c r="CK16" i="72"/>
  <c r="CK17" i="72"/>
  <c r="CK18" i="72"/>
  <c r="CK19" i="72"/>
  <c r="CK20" i="72"/>
  <c r="CK21" i="72"/>
  <c r="CK3" i="72"/>
  <c r="CG4" i="72"/>
  <c r="CG5" i="72"/>
  <c r="CG6" i="72"/>
  <c r="CG7" i="72"/>
  <c r="CG8" i="72"/>
  <c r="CG9" i="72"/>
  <c r="CG10" i="72"/>
  <c r="CG11" i="72"/>
  <c r="CG12" i="72"/>
  <c r="CG13" i="72"/>
  <c r="CG14" i="72"/>
  <c r="CG15" i="72"/>
  <c r="CG16" i="72"/>
  <c r="CG17" i="72"/>
  <c r="CG18" i="72"/>
  <c r="CG19" i="72"/>
  <c r="CG20" i="72"/>
  <c r="CG21" i="72"/>
  <c r="CG3" i="72"/>
  <c r="CC4" i="72"/>
  <c r="CC5" i="72"/>
  <c r="CC6" i="72"/>
  <c r="CC7" i="72"/>
  <c r="CC8" i="72"/>
  <c r="CC9" i="72"/>
  <c r="CC10" i="72"/>
  <c r="CC11" i="72"/>
  <c r="CC12" i="72"/>
  <c r="CC13" i="72"/>
  <c r="CC14" i="72"/>
  <c r="CC15" i="72"/>
  <c r="CC16" i="72"/>
  <c r="CC17" i="72"/>
  <c r="CC18" i="72"/>
  <c r="CC19" i="72"/>
  <c r="CC20" i="72"/>
  <c r="CC21" i="72"/>
  <c r="BY4" i="72"/>
  <c r="BY5" i="72"/>
  <c r="BY6" i="72"/>
  <c r="BY7" i="72"/>
  <c r="BY8" i="72"/>
  <c r="BY9" i="72"/>
  <c r="BY10" i="72"/>
  <c r="BY11" i="72"/>
  <c r="BY12" i="72"/>
  <c r="BY13" i="72"/>
  <c r="BY14" i="72"/>
  <c r="BY15" i="72"/>
  <c r="BY16" i="72"/>
  <c r="BY17" i="72"/>
  <c r="BY18" i="72"/>
  <c r="BY19" i="72"/>
  <c r="BY20" i="72"/>
  <c r="BY21" i="72"/>
  <c r="BY3" i="72"/>
  <c r="BU4" i="72"/>
  <c r="BU5" i="72"/>
  <c r="BU6" i="72"/>
  <c r="BU7" i="72"/>
  <c r="BU8" i="72"/>
  <c r="BU9" i="72"/>
  <c r="BU10" i="72"/>
  <c r="BU11" i="72"/>
  <c r="BU12" i="72"/>
  <c r="BU13" i="72"/>
  <c r="BU14" i="72"/>
  <c r="BU15" i="72"/>
  <c r="BU16" i="72"/>
  <c r="BU17" i="72"/>
  <c r="BU18" i="72"/>
  <c r="BU19" i="72"/>
  <c r="BU20" i="72"/>
  <c r="BU21" i="72"/>
  <c r="BU3" i="72"/>
  <c r="BQ4" i="72"/>
  <c r="BQ5" i="72"/>
  <c r="BQ6" i="72"/>
  <c r="BQ7" i="72"/>
  <c r="BQ8" i="72"/>
  <c r="BQ9" i="72"/>
  <c r="BQ10" i="72"/>
  <c r="BQ11" i="72"/>
  <c r="BQ12" i="72"/>
  <c r="BQ13" i="72"/>
  <c r="BQ14" i="72"/>
  <c r="BQ15" i="72"/>
  <c r="BQ16" i="72"/>
  <c r="BQ17" i="72"/>
  <c r="BQ18" i="72"/>
  <c r="BQ19" i="72"/>
  <c r="BQ20" i="72"/>
  <c r="BQ21" i="72"/>
  <c r="BQ3" i="72"/>
  <c r="BM4" i="72"/>
  <c r="BM5" i="72"/>
  <c r="BM6" i="72"/>
  <c r="BM7" i="72"/>
  <c r="BM8" i="72"/>
  <c r="BM9" i="72"/>
  <c r="BM10" i="72"/>
  <c r="BM11" i="72"/>
  <c r="BM12" i="72"/>
  <c r="BM13" i="72"/>
  <c r="BM14" i="72"/>
  <c r="BM15" i="72"/>
  <c r="BM16" i="72"/>
  <c r="BM17" i="72"/>
  <c r="BM18" i="72"/>
  <c r="BM19" i="72"/>
  <c r="BM20" i="72"/>
  <c r="BM21" i="72"/>
  <c r="BM3" i="72"/>
  <c r="BI4" i="72"/>
  <c r="BI5" i="72"/>
  <c r="BI6" i="72"/>
  <c r="BI7" i="72"/>
  <c r="BI8" i="72"/>
  <c r="BI9" i="72"/>
  <c r="BI10" i="72"/>
  <c r="BI11" i="72"/>
  <c r="BI12" i="72"/>
  <c r="BI13" i="72"/>
  <c r="BI14" i="72"/>
  <c r="BI15" i="72"/>
  <c r="BI16" i="72"/>
  <c r="BI17" i="72"/>
  <c r="BI18" i="72"/>
  <c r="BI19" i="72"/>
  <c r="BI20" i="72"/>
  <c r="BI21" i="72"/>
  <c r="BI3" i="72"/>
  <c r="BE4" i="72"/>
  <c r="BE5" i="72"/>
  <c r="BE6" i="72"/>
  <c r="BE7" i="72"/>
  <c r="BE8" i="72"/>
  <c r="BE9" i="72"/>
  <c r="BE10" i="72"/>
  <c r="BE11" i="72"/>
  <c r="BE12" i="72"/>
  <c r="BE13" i="72"/>
  <c r="BE14" i="72"/>
  <c r="BE15" i="72"/>
  <c r="BE16" i="72"/>
  <c r="BE17" i="72"/>
  <c r="BE18" i="72"/>
  <c r="BE19" i="72"/>
  <c r="BE20" i="72"/>
  <c r="BE21" i="72"/>
  <c r="BE3" i="72"/>
  <c r="BA4" i="72"/>
  <c r="BA5" i="72"/>
  <c r="BA6" i="72"/>
  <c r="BA7" i="72"/>
  <c r="BA8" i="72"/>
  <c r="BA9" i="72"/>
  <c r="BA10" i="72"/>
  <c r="BA11" i="72"/>
  <c r="BA12" i="72"/>
  <c r="BA13" i="72"/>
  <c r="BA14" i="72"/>
  <c r="BA15" i="72"/>
  <c r="BA16" i="72"/>
  <c r="BA17" i="72"/>
  <c r="BA18" i="72"/>
  <c r="BA19" i="72"/>
  <c r="BA20" i="72"/>
  <c r="BA21" i="72"/>
  <c r="BA3" i="72"/>
  <c r="AW4" i="72"/>
  <c r="AW5" i="72"/>
  <c r="AW6" i="72"/>
  <c r="AW7" i="72"/>
  <c r="AW8" i="72"/>
  <c r="AW9" i="72"/>
  <c r="AW10" i="72"/>
  <c r="AW11" i="72"/>
  <c r="AW12" i="72"/>
  <c r="AW13" i="72"/>
  <c r="AW14" i="72"/>
  <c r="AW15" i="72"/>
  <c r="AW16" i="72"/>
  <c r="AW17" i="72"/>
  <c r="AW18" i="72"/>
  <c r="AW19" i="72"/>
  <c r="AW20" i="72"/>
  <c r="AW21" i="72"/>
  <c r="AW3" i="72"/>
  <c r="AS4" i="72"/>
  <c r="AS5" i="72"/>
  <c r="AS6" i="72"/>
  <c r="AS7" i="72"/>
  <c r="AS8" i="72"/>
  <c r="AS9" i="72"/>
  <c r="AS10" i="72"/>
  <c r="AS11" i="72"/>
  <c r="AS12" i="72"/>
  <c r="AS13" i="72"/>
  <c r="AS14" i="72"/>
  <c r="AS15" i="72"/>
  <c r="AS16" i="72"/>
  <c r="AS17" i="72"/>
  <c r="AS18" i="72"/>
  <c r="AS19" i="72"/>
  <c r="AS20" i="72"/>
  <c r="AS21" i="72"/>
  <c r="AS3" i="72"/>
  <c r="AO4" i="72"/>
  <c r="AO5" i="72"/>
  <c r="AO6" i="72"/>
  <c r="AO7" i="72"/>
  <c r="AO8" i="72"/>
  <c r="AO9" i="72"/>
  <c r="AO10" i="72"/>
  <c r="AO11" i="72"/>
  <c r="AO12" i="72"/>
  <c r="AO13" i="72"/>
  <c r="AO14" i="72"/>
  <c r="AO15" i="72"/>
  <c r="AO16" i="72"/>
  <c r="AO17" i="72"/>
  <c r="AO18" i="72"/>
  <c r="AO19" i="72"/>
  <c r="AO20" i="72"/>
  <c r="AO21" i="72"/>
  <c r="AO3" i="72"/>
  <c r="AK4" i="72"/>
  <c r="AK5" i="72"/>
  <c r="AK6" i="72"/>
  <c r="AK7" i="72"/>
  <c r="AK8" i="72"/>
  <c r="AK9" i="72"/>
  <c r="AK10" i="72"/>
  <c r="AK11" i="72"/>
  <c r="AK12" i="72"/>
  <c r="AK13" i="72"/>
  <c r="AK14" i="72"/>
  <c r="AK15" i="72"/>
  <c r="AK16" i="72"/>
  <c r="AK17" i="72"/>
  <c r="AK18" i="72"/>
  <c r="AK19" i="72"/>
  <c r="AK20" i="72"/>
  <c r="AK21" i="72"/>
  <c r="AK3" i="72"/>
  <c r="AG4" i="72"/>
  <c r="AG5" i="72"/>
  <c r="AG6" i="72"/>
  <c r="AG7" i="72"/>
  <c r="AG8" i="72"/>
  <c r="AG9" i="72"/>
  <c r="AG10" i="72"/>
  <c r="AG11" i="72"/>
  <c r="AG12" i="72"/>
  <c r="AG13" i="72"/>
  <c r="AG14" i="72"/>
  <c r="AG15" i="72"/>
  <c r="AG16" i="72"/>
  <c r="AG17" i="72"/>
  <c r="AG18" i="72"/>
  <c r="AG19" i="72"/>
  <c r="AG20" i="72"/>
  <c r="AG21" i="72"/>
  <c r="AG3" i="72"/>
  <c r="AC4" i="72"/>
  <c r="AC5" i="72"/>
  <c r="AC6" i="72"/>
  <c r="AC7" i="72"/>
  <c r="AC8" i="72"/>
  <c r="AC9" i="72"/>
  <c r="AC10" i="72"/>
  <c r="AC11" i="72"/>
  <c r="AC12" i="72"/>
  <c r="AC13" i="72"/>
  <c r="AC14" i="72"/>
  <c r="AC15" i="72"/>
  <c r="AC16" i="72"/>
  <c r="AC17" i="72"/>
  <c r="AC18" i="72"/>
  <c r="AC19" i="72"/>
  <c r="AC20" i="72"/>
  <c r="AC21" i="72"/>
  <c r="AC3" i="72"/>
  <c r="Y4" i="72"/>
  <c r="Y5" i="72"/>
  <c r="Y6" i="72"/>
  <c r="Y7" i="72"/>
  <c r="Y8" i="72"/>
  <c r="Y9" i="72"/>
  <c r="Y10" i="72"/>
  <c r="Y11" i="72"/>
  <c r="Y12" i="72"/>
  <c r="Y13" i="72"/>
  <c r="Y14" i="72"/>
  <c r="Y15" i="72"/>
  <c r="Y16" i="72"/>
  <c r="Y17" i="72"/>
  <c r="Y18" i="72"/>
  <c r="Y19" i="72"/>
  <c r="Y20" i="72"/>
  <c r="Y21" i="72"/>
  <c r="Y3" i="72"/>
  <c r="U4" i="72"/>
  <c r="U5" i="72"/>
  <c r="U6" i="72"/>
  <c r="U7" i="72"/>
  <c r="U8" i="72"/>
  <c r="U9" i="72"/>
  <c r="U10" i="72"/>
  <c r="U11" i="72"/>
  <c r="U12" i="72"/>
  <c r="U13" i="72"/>
  <c r="U14" i="72"/>
  <c r="U15" i="72"/>
  <c r="U16" i="72"/>
  <c r="U17" i="72"/>
  <c r="U18" i="72"/>
  <c r="U19" i="72"/>
  <c r="U20" i="72"/>
  <c r="U21" i="72"/>
  <c r="U3" i="72"/>
  <c r="Q4" i="72"/>
  <c r="Q5" i="72"/>
  <c r="Q6" i="72"/>
  <c r="Q7" i="72"/>
  <c r="Q8" i="72"/>
  <c r="Q9" i="72"/>
  <c r="Q10" i="72"/>
  <c r="Q11" i="72"/>
  <c r="Q12" i="72"/>
  <c r="Q13" i="72"/>
  <c r="Q14" i="72"/>
  <c r="Q15" i="72"/>
  <c r="Q16" i="72"/>
  <c r="Q17" i="72"/>
  <c r="Q18" i="72"/>
  <c r="Q19" i="72"/>
  <c r="Q20" i="72"/>
  <c r="Q21" i="72"/>
  <c r="M4" i="72"/>
  <c r="M5" i="72"/>
  <c r="M6" i="72"/>
  <c r="M7" i="72"/>
  <c r="M8" i="72"/>
  <c r="M9" i="72"/>
  <c r="M10" i="72"/>
  <c r="M11" i="72"/>
  <c r="M12" i="72"/>
  <c r="M13" i="72"/>
  <c r="M14" i="72"/>
  <c r="M15" i="72"/>
  <c r="M16" i="72"/>
  <c r="M17" i="72"/>
  <c r="M18" i="72"/>
  <c r="M19" i="72"/>
  <c r="M20" i="72"/>
  <c r="M21" i="72"/>
  <c r="M3" i="72"/>
  <c r="DN4" i="72"/>
  <c r="DN5" i="72"/>
  <c r="DN6" i="72"/>
  <c r="DN7" i="72"/>
  <c r="DN8" i="72"/>
  <c r="DN9" i="72"/>
  <c r="DN10" i="72"/>
  <c r="DN11" i="72"/>
  <c r="DN12" i="72"/>
  <c r="DN13" i="72"/>
  <c r="DN14" i="72"/>
  <c r="DN15" i="72"/>
  <c r="DN16" i="72"/>
  <c r="DN17" i="72"/>
  <c r="DN18" i="72"/>
  <c r="DN19" i="72"/>
  <c r="DN20" i="72"/>
  <c r="DN21" i="72"/>
  <c r="DN3" i="72"/>
  <c r="DJ4" i="72"/>
  <c r="DJ5" i="72"/>
  <c r="DJ6" i="72"/>
  <c r="DJ7" i="72"/>
  <c r="DJ8" i="72"/>
  <c r="DJ9" i="72"/>
  <c r="DJ10" i="72"/>
  <c r="DJ11" i="72"/>
  <c r="DJ12" i="72"/>
  <c r="DJ13" i="72"/>
  <c r="DJ14" i="72"/>
  <c r="DJ15" i="72"/>
  <c r="DJ16" i="72"/>
  <c r="DJ17" i="72"/>
  <c r="DJ18" i="72"/>
  <c r="DJ19" i="72"/>
  <c r="DJ20" i="72"/>
  <c r="DJ21" i="72"/>
  <c r="DJ3" i="72"/>
  <c r="DF4" i="72"/>
  <c r="DF5" i="72"/>
  <c r="DF6" i="72"/>
  <c r="DF7" i="72"/>
  <c r="DF8" i="72"/>
  <c r="DF9" i="72"/>
  <c r="DF10" i="72"/>
  <c r="DF11" i="72"/>
  <c r="DF12" i="72"/>
  <c r="DF13" i="72"/>
  <c r="DF14" i="72"/>
  <c r="DF15" i="72"/>
  <c r="DF16" i="72"/>
  <c r="DF17" i="72"/>
  <c r="DF18" i="72"/>
  <c r="DF19" i="72"/>
  <c r="DF20" i="72"/>
  <c r="DF21" i="72"/>
  <c r="DF3" i="72"/>
  <c r="DB4" i="72"/>
  <c r="DB5" i="72"/>
  <c r="DB6" i="72"/>
  <c r="DB7" i="72"/>
  <c r="DB8" i="72"/>
  <c r="DB9" i="72"/>
  <c r="DB10" i="72"/>
  <c r="DB11" i="72"/>
  <c r="DB12" i="72"/>
  <c r="DB13" i="72"/>
  <c r="DB14" i="72"/>
  <c r="DB15" i="72"/>
  <c r="DB16" i="72"/>
  <c r="DB17" i="72"/>
  <c r="DB18" i="72"/>
  <c r="DB19" i="72"/>
  <c r="DB20" i="72"/>
  <c r="DB21" i="72"/>
  <c r="DB3" i="72"/>
  <c r="CX4" i="72"/>
  <c r="CX5" i="72"/>
  <c r="CX6" i="72"/>
  <c r="CX7" i="72"/>
  <c r="CX8" i="72"/>
  <c r="CX9" i="72"/>
  <c r="CX10" i="72"/>
  <c r="CX11" i="72"/>
  <c r="CX12" i="72"/>
  <c r="CX13" i="72"/>
  <c r="CX14" i="72"/>
  <c r="CX15" i="72"/>
  <c r="CX16" i="72"/>
  <c r="CX17" i="72"/>
  <c r="CX18" i="72"/>
  <c r="CX19" i="72"/>
  <c r="CX20" i="72"/>
  <c r="CX21" i="72"/>
  <c r="CX3" i="72"/>
  <c r="CT4" i="72"/>
  <c r="CT5" i="72"/>
  <c r="CT6" i="72"/>
  <c r="CT7" i="72"/>
  <c r="CT8" i="72"/>
  <c r="CT9" i="72"/>
  <c r="CT10" i="72"/>
  <c r="CT11" i="72"/>
  <c r="CT12" i="72"/>
  <c r="CT13" i="72"/>
  <c r="CT14" i="72"/>
  <c r="CT15" i="72"/>
  <c r="CT16" i="72"/>
  <c r="CT17" i="72"/>
  <c r="CT18" i="72"/>
  <c r="CT19" i="72"/>
  <c r="CT20" i="72"/>
  <c r="CT21" i="72"/>
  <c r="CT3" i="72"/>
  <c r="CP4" i="72"/>
  <c r="CP5" i="72"/>
  <c r="CP6" i="72"/>
  <c r="CP7" i="72"/>
  <c r="CP8" i="72"/>
  <c r="CP9" i="72"/>
  <c r="CP10" i="72"/>
  <c r="CP11" i="72"/>
  <c r="CP12" i="72"/>
  <c r="CP13" i="72"/>
  <c r="CP14" i="72"/>
  <c r="CP15" i="72"/>
  <c r="CP16" i="72"/>
  <c r="CP17" i="72"/>
  <c r="CP18" i="72"/>
  <c r="CP19" i="72"/>
  <c r="CP20" i="72"/>
  <c r="CP21" i="72"/>
  <c r="CP3" i="72"/>
  <c r="CL4" i="72"/>
  <c r="CL5" i="72"/>
  <c r="CL6" i="72"/>
  <c r="CL7" i="72"/>
  <c r="CL8" i="72"/>
  <c r="CL9" i="72"/>
  <c r="CL10" i="72"/>
  <c r="CL11" i="72"/>
  <c r="CL12" i="72"/>
  <c r="CL13" i="72"/>
  <c r="CL14" i="72"/>
  <c r="CL15" i="72"/>
  <c r="CL16" i="72"/>
  <c r="CL17" i="72"/>
  <c r="CL18" i="72"/>
  <c r="CL19" i="72"/>
  <c r="CL20" i="72"/>
  <c r="CL21" i="72"/>
  <c r="CL3" i="72"/>
  <c r="CH4" i="72"/>
  <c r="CH5" i="72"/>
  <c r="CH6" i="72"/>
  <c r="CH7" i="72"/>
  <c r="CH8" i="72"/>
  <c r="CH9" i="72"/>
  <c r="CH10" i="72"/>
  <c r="CH11" i="72"/>
  <c r="CH12" i="72"/>
  <c r="CH13" i="72"/>
  <c r="CH14" i="72"/>
  <c r="CH15" i="72"/>
  <c r="CH16" i="72"/>
  <c r="CH17" i="72"/>
  <c r="CH18" i="72"/>
  <c r="CH19" i="72"/>
  <c r="CH20" i="72"/>
  <c r="CH21" i="72"/>
  <c r="CH3" i="72"/>
  <c r="CD4" i="72"/>
  <c r="CD5" i="72"/>
  <c r="CD6" i="72"/>
  <c r="CD7" i="72"/>
  <c r="CD8" i="72"/>
  <c r="CD9" i="72"/>
  <c r="CD10" i="72"/>
  <c r="CD11" i="72"/>
  <c r="CD12" i="72"/>
  <c r="CD13" i="72"/>
  <c r="CD14" i="72"/>
  <c r="CD15" i="72"/>
  <c r="CD16" i="72"/>
  <c r="CD17" i="72"/>
  <c r="CD18" i="72"/>
  <c r="CD19" i="72"/>
  <c r="CD20" i="72"/>
  <c r="CD21" i="72"/>
  <c r="CD3" i="72"/>
  <c r="BZ4" i="72"/>
  <c r="BZ5" i="72"/>
  <c r="BZ6" i="72"/>
  <c r="BZ7" i="72"/>
  <c r="BZ8" i="72"/>
  <c r="BZ9" i="72"/>
  <c r="BZ10" i="72"/>
  <c r="BZ11" i="72"/>
  <c r="BZ12" i="72"/>
  <c r="BZ13" i="72"/>
  <c r="BZ14" i="72"/>
  <c r="BZ15" i="72"/>
  <c r="BZ16" i="72"/>
  <c r="BZ17" i="72"/>
  <c r="BZ18" i="72"/>
  <c r="BZ19" i="72"/>
  <c r="BZ20" i="72"/>
  <c r="BZ21" i="72"/>
  <c r="BZ3" i="72"/>
  <c r="BV4" i="72"/>
  <c r="BV5" i="72"/>
  <c r="BV6" i="72"/>
  <c r="BV7" i="72"/>
  <c r="BV8" i="72"/>
  <c r="BV9" i="72"/>
  <c r="BV10" i="72"/>
  <c r="BV11" i="72"/>
  <c r="BV12" i="72"/>
  <c r="BV13" i="72"/>
  <c r="BV14" i="72"/>
  <c r="BV15" i="72"/>
  <c r="BV16" i="72"/>
  <c r="BV17" i="72"/>
  <c r="BV18" i="72"/>
  <c r="BV19" i="72"/>
  <c r="BV20" i="72"/>
  <c r="BV21" i="72"/>
  <c r="BV3" i="72"/>
  <c r="BR4" i="72"/>
  <c r="BR5" i="72"/>
  <c r="BR6" i="72"/>
  <c r="BR7" i="72"/>
  <c r="BR8" i="72"/>
  <c r="BR9" i="72"/>
  <c r="BR10" i="72"/>
  <c r="BR11" i="72"/>
  <c r="BR12" i="72"/>
  <c r="BR13" i="72"/>
  <c r="BR14" i="72"/>
  <c r="BR15" i="72"/>
  <c r="BR16" i="72"/>
  <c r="BR17" i="72"/>
  <c r="BR18" i="72"/>
  <c r="BR19" i="72"/>
  <c r="BR20" i="72"/>
  <c r="BR21" i="72"/>
  <c r="BR3" i="72"/>
  <c r="BN4" i="72"/>
  <c r="BN5" i="72"/>
  <c r="BN6" i="72"/>
  <c r="BN7" i="72"/>
  <c r="BN8" i="72"/>
  <c r="BN9" i="72"/>
  <c r="BN10" i="72"/>
  <c r="BN11" i="72"/>
  <c r="BN12" i="72"/>
  <c r="BN13" i="72"/>
  <c r="BN14" i="72"/>
  <c r="BN15" i="72"/>
  <c r="BN16" i="72"/>
  <c r="BN17" i="72"/>
  <c r="BN18" i="72"/>
  <c r="BN19" i="72"/>
  <c r="BN20" i="72"/>
  <c r="BN21" i="72"/>
  <c r="BN3" i="72"/>
  <c r="BJ4" i="72"/>
  <c r="BJ5" i="72"/>
  <c r="BJ6" i="72"/>
  <c r="BJ7" i="72"/>
  <c r="BJ8" i="72"/>
  <c r="BJ9" i="72"/>
  <c r="BJ10" i="72"/>
  <c r="BJ11" i="72"/>
  <c r="BJ12" i="72"/>
  <c r="BJ13" i="72"/>
  <c r="BJ14" i="72"/>
  <c r="BJ15" i="72"/>
  <c r="BJ16" i="72"/>
  <c r="BJ17" i="72"/>
  <c r="BJ18" i="72"/>
  <c r="BJ19" i="72"/>
  <c r="BJ20" i="72"/>
  <c r="BJ21" i="72"/>
  <c r="BJ3" i="72"/>
  <c r="BF4" i="72"/>
  <c r="BF5" i="72"/>
  <c r="BF6" i="72"/>
  <c r="BF7" i="72"/>
  <c r="BF8" i="72"/>
  <c r="BF9" i="72"/>
  <c r="BF10" i="72"/>
  <c r="BF11" i="72"/>
  <c r="BF12" i="72"/>
  <c r="BF13" i="72"/>
  <c r="BF14" i="72"/>
  <c r="BF15" i="72"/>
  <c r="BF16" i="72"/>
  <c r="BF17" i="72"/>
  <c r="BF18" i="72"/>
  <c r="BF19" i="72"/>
  <c r="BF20" i="72"/>
  <c r="BF21" i="72"/>
  <c r="BF3" i="72"/>
  <c r="BB4" i="72"/>
  <c r="BB5" i="72"/>
  <c r="BB6" i="72"/>
  <c r="BB7" i="72"/>
  <c r="BB8" i="72"/>
  <c r="BB9" i="72"/>
  <c r="BB10" i="72"/>
  <c r="BB11" i="72"/>
  <c r="BB12" i="72"/>
  <c r="BB13" i="72"/>
  <c r="BB14" i="72"/>
  <c r="BB15" i="72"/>
  <c r="BB16" i="72"/>
  <c r="BB17" i="72"/>
  <c r="BB18" i="72"/>
  <c r="BB19" i="72"/>
  <c r="BB20" i="72"/>
  <c r="BB21" i="72"/>
  <c r="BB3" i="72"/>
  <c r="AX4" i="72"/>
  <c r="AX5" i="72"/>
  <c r="AX6" i="72"/>
  <c r="AX7" i="72"/>
  <c r="AX8" i="72"/>
  <c r="AX9" i="72"/>
  <c r="AX10" i="72"/>
  <c r="AX11" i="72"/>
  <c r="AX12" i="72"/>
  <c r="AX13" i="72"/>
  <c r="AX14" i="72"/>
  <c r="AX15" i="72"/>
  <c r="AX16" i="72"/>
  <c r="AX17" i="72"/>
  <c r="AX18" i="72"/>
  <c r="AX19" i="72"/>
  <c r="AX20" i="72"/>
  <c r="AX21" i="72"/>
  <c r="AX3" i="72"/>
  <c r="AT4" i="72"/>
  <c r="AT5" i="72"/>
  <c r="AT6" i="72"/>
  <c r="AT7" i="72"/>
  <c r="AT8" i="72"/>
  <c r="AT9" i="72"/>
  <c r="AT10" i="72"/>
  <c r="AT11" i="72"/>
  <c r="AT12" i="72"/>
  <c r="AT13" i="72"/>
  <c r="AT14" i="72"/>
  <c r="AT15" i="72"/>
  <c r="AT16" i="72"/>
  <c r="AT17" i="72"/>
  <c r="AT18" i="72"/>
  <c r="AT19" i="72"/>
  <c r="AT20" i="72"/>
  <c r="AT21" i="72"/>
  <c r="AT3" i="72"/>
  <c r="AP4" i="72"/>
  <c r="AP5" i="72"/>
  <c r="AP6" i="72"/>
  <c r="AP7" i="72"/>
  <c r="AP8" i="72"/>
  <c r="AP9" i="72"/>
  <c r="AP10" i="72"/>
  <c r="AP11" i="72"/>
  <c r="AP12" i="72"/>
  <c r="AP13" i="72"/>
  <c r="AP14" i="72"/>
  <c r="AP15" i="72"/>
  <c r="AP16" i="72"/>
  <c r="AP17" i="72"/>
  <c r="AP18" i="72"/>
  <c r="AP19" i="72"/>
  <c r="AP20" i="72"/>
  <c r="AP21" i="72"/>
  <c r="AP3" i="72"/>
  <c r="AL4" i="72"/>
  <c r="AL5" i="72"/>
  <c r="AL6" i="72"/>
  <c r="AL7" i="72"/>
  <c r="AL8" i="72"/>
  <c r="AL9" i="72"/>
  <c r="AL10" i="72"/>
  <c r="AL11" i="72"/>
  <c r="AL12" i="72"/>
  <c r="AL13" i="72"/>
  <c r="AL14" i="72"/>
  <c r="AL15" i="72"/>
  <c r="AL16" i="72"/>
  <c r="AL17" i="72"/>
  <c r="AL18" i="72"/>
  <c r="AL19" i="72"/>
  <c r="AL20" i="72"/>
  <c r="AL21" i="72"/>
  <c r="AL3" i="72"/>
  <c r="AH4" i="72"/>
  <c r="AH5" i="72"/>
  <c r="AH6" i="72"/>
  <c r="AH7" i="72"/>
  <c r="AH8" i="72"/>
  <c r="AH9" i="72"/>
  <c r="AH10" i="72"/>
  <c r="AH11" i="72"/>
  <c r="AH12" i="72"/>
  <c r="AH13" i="72"/>
  <c r="AH14" i="72"/>
  <c r="AH15" i="72"/>
  <c r="AH16" i="72"/>
  <c r="AH17" i="72"/>
  <c r="AH18" i="72"/>
  <c r="AH19" i="72"/>
  <c r="AH20" i="72"/>
  <c r="AH21" i="72"/>
  <c r="AH3" i="72"/>
  <c r="AD4" i="72"/>
  <c r="AD5" i="72"/>
  <c r="AD6" i="72"/>
  <c r="AD7" i="72"/>
  <c r="AD8" i="72"/>
  <c r="AD9" i="72"/>
  <c r="AD10" i="72"/>
  <c r="AD11" i="72"/>
  <c r="AD12" i="72"/>
  <c r="AD13" i="72"/>
  <c r="AD14" i="72"/>
  <c r="AD15" i="72"/>
  <c r="AD16" i="72"/>
  <c r="AD17" i="72"/>
  <c r="AD18" i="72"/>
  <c r="AD19" i="72"/>
  <c r="AD20" i="72"/>
  <c r="AD21" i="72"/>
  <c r="AD3" i="72"/>
  <c r="Z4" i="72"/>
  <c r="Z5" i="72"/>
  <c r="Z6" i="72"/>
  <c r="Z7" i="72"/>
  <c r="Z8" i="72"/>
  <c r="Z9" i="72"/>
  <c r="Z10" i="72"/>
  <c r="Z11" i="72"/>
  <c r="Z12" i="72"/>
  <c r="Z13" i="72"/>
  <c r="Z14" i="72"/>
  <c r="Z15" i="72"/>
  <c r="Z16" i="72"/>
  <c r="Z17" i="72"/>
  <c r="Z18" i="72"/>
  <c r="Z19" i="72"/>
  <c r="Z20" i="72"/>
  <c r="Z21" i="72"/>
  <c r="Z3" i="72"/>
  <c r="V4" i="72"/>
  <c r="V5" i="72"/>
  <c r="V6" i="72"/>
  <c r="V7" i="72"/>
  <c r="V8" i="72"/>
  <c r="V9" i="72"/>
  <c r="V10" i="72"/>
  <c r="V11" i="72"/>
  <c r="V12" i="72"/>
  <c r="V13" i="72"/>
  <c r="V14" i="72"/>
  <c r="V15" i="72"/>
  <c r="V16" i="72"/>
  <c r="V17" i="72"/>
  <c r="V18" i="72"/>
  <c r="V19" i="72"/>
  <c r="V20" i="72"/>
  <c r="V21" i="72"/>
  <c r="V3" i="72"/>
  <c r="R4" i="72"/>
  <c r="R25" i="72" s="1"/>
  <c r="R5" i="72"/>
  <c r="R6" i="72"/>
  <c r="R7" i="72"/>
  <c r="R8" i="72"/>
  <c r="R9" i="72"/>
  <c r="R10" i="72"/>
  <c r="R11" i="72"/>
  <c r="R12" i="72"/>
  <c r="R13" i="72"/>
  <c r="R14" i="72"/>
  <c r="R15" i="72"/>
  <c r="R16" i="72"/>
  <c r="R17" i="72"/>
  <c r="R18" i="72"/>
  <c r="R19" i="72"/>
  <c r="R20" i="72"/>
  <c r="R21" i="72"/>
  <c r="R3" i="72"/>
  <c r="N4" i="72"/>
  <c r="N25" i="72" s="1"/>
  <c r="N5" i="72"/>
  <c r="N6" i="72"/>
  <c r="N7" i="72"/>
  <c r="N8" i="72"/>
  <c r="N9" i="72"/>
  <c r="N10" i="72"/>
  <c r="N11" i="72"/>
  <c r="N12" i="72"/>
  <c r="N13" i="72"/>
  <c r="N14" i="72"/>
  <c r="N15" i="72"/>
  <c r="N16" i="72"/>
  <c r="N17" i="72"/>
  <c r="N18" i="72"/>
  <c r="N19" i="72"/>
  <c r="N20" i="72"/>
  <c r="N21" i="72"/>
  <c r="N3" i="72"/>
  <c r="BO9" i="72" l="1"/>
  <c r="BW15" i="72"/>
  <c r="CA18" i="72"/>
  <c r="DO15" i="72"/>
  <c r="DO13" i="72"/>
  <c r="DO12" i="72"/>
  <c r="DK9" i="72"/>
  <c r="CE21" i="72"/>
  <c r="CE5" i="72"/>
  <c r="CI8" i="72"/>
  <c r="CM11" i="72"/>
  <c r="CU17" i="72"/>
  <c r="DC7" i="72"/>
  <c r="DK13" i="72"/>
  <c r="DO16" i="72"/>
  <c r="BR22" i="72"/>
  <c r="AA12" i="72"/>
  <c r="AI18" i="72"/>
  <c r="AM21" i="72"/>
  <c r="AM5" i="72"/>
  <c r="AQ8" i="72"/>
  <c r="AU11" i="72"/>
  <c r="AY14" i="72"/>
  <c r="BG20" i="72"/>
  <c r="BG4" i="72"/>
  <c r="BO10" i="72"/>
  <c r="BW16" i="72"/>
  <c r="CA19" i="72"/>
  <c r="CE6" i="72"/>
  <c r="CI9" i="72"/>
  <c r="CM12" i="72"/>
  <c r="CU18" i="72"/>
  <c r="DC8" i="72"/>
  <c r="DK14" i="72"/>
  <c r="DO17" i="72"/>
  <c r="AU10" i="72"/>
  <c r="AY13" i="72"/>
  <c r="BG19" i="72"/>
  <c r="DC21" i="72"/>
  <c r="DC5" i="72"/>
  <c r="DK11" i="72"/>
  <c r="DO14" i="72"/>
  <c r="BG15" i="72"/>
  <c r="BO21" i="72"/>
  <c r="BO5" i="72"/>
  <c r="BW11" i="72"/>
  <c r="CA14" i="72"/>
  <c r="CE17" i="72"/>
  <c r="CI20" i="72"/>
  <c r="CI4" i="72"/>
  <c r="CM7" i="72"/>
  <c r="CU13" i="72"/>
  <c r="DC19" i="72"/>
  <c r="AX22" i="72"/>
  <c r="DJ22" i="72"/>
  <c r="S21" i="72"/>
  <c r="AA11" i="72"/>
  <c r="AM20" i="72"/>
  <c r="AM4" i="72"/>
  <c r="AQ7" i="72"/>
  <c r="J7" i="72"/>
  <c r="DZ7" i="72" s="1"/>
  <c r="AD22" i="72"/>
  <c r="CP22" i="72"/>
  <c r="S20" i="72"/>
  <c r="S4" i="72"/>
  <c r="AA10" i="72"/>
  <c r="AI16" i="72"/>
  <c r="AM19" i="72"/>
  <c r="AQ6" i="72"/>
  <c r="AU9" i="72"/>
  <c r="AY12" i="72"/>
  <c r="BG18" i="72"/>
  <c r="BO8" i="72"/>
  <c r="BW14" i="72"/>
  <c r="CA17" i="72"/>
  <c r="CE20" i="72"/>
  <c r="CE4" i="72"/>
  <c r="CI7" i="72"/>
  <c r="CM10" i="72"/>
  <c r="CU16" i="72"/>
  <c r="DC6" i="72"/>
  <c r="DK12" i="72"/>
  <c r="J3" i="72"/>
  <c r="J6" i="72"/>
  <c r="DZ6" i="72" s="1"/>
  <c r="BV22" i="72"/>
  <c r="S19" i="72"/>
  <c r="AA9" i="72"/>
  <c r="AI15" i="72"/>
  <c r="AM18" i="72"/>
  <c r="AQ21" i="72"/>
  <c r="AQ5" i="72"/>
  <c r="AU8" i="72"/>
  <c r="AY11" i="72"/>
  <c r="BG17" i="72"/>
  <c r="BO7" i="72"/>
  <c r="BW13" i="72"/>
  <c r="CA16" i="72"/>
  <c r="CE19" i="72"/>
  <c r="CI6" i="72"/>
  <c r="CM9" i="72"/>
  <c r="CU15" i="72"/>
  <c r="J21" i="72"/>
  <c r="DZ21" i="72" s="1"/>
  <c r="J5" i="72"/>
  <c r="DZ5" i="72" s="1"/>
  <c r="BB22" i="72"/>
  <c r="DN22" i="72"/>
  <c r="S18" i="72"/>
  <c r="AA8" i="72"/>
  <c r="AI14" i="72"/>
  <c r="AM17" i="72"/>
  <c r="AQ20" i="72"/>
  <c r="AQ4" i="72"/>
  <c r="AU7" i="72"/>
  <c r="AY10" i="72"/>
  <c r="BG16" i="72"/>
  <c r="BO6" i="72"/>
  <c r="BW12" i="72"/>
  <c r="CA15" i="72"/>
  <c r="CE18" i="72"/>
  <c r="CI21" i="72"/>
  <c r="CI5" i="72"/>
  <c r="CM8" i="72"/>
  <c r="CU14" i="72"/>
  <c r="DC20" i="72"/>
  <c r="DC4" i="72"/>
  <c r="DK10" i="72"/>
  <c r="J20" i="72"/>
  <c r="DZ20" i="72" s="1"/>
  <c r="CT22" i="72"/>
  <c r="S17" i="72"/>
  <c r="AA7" i="72"/>
  <c r="AI13" i="72"/>
  <c r="AM16" i="72"/>
  <c r="AQ19" i="72"/>
  <c r="AU6" i="72"/>
  <c r="AY9" i="72"/>
  <c r="J9" i="72"/>
  <c r="DZ9" i="72" s="1"/>
  <c r="BZ22" i="72"/>
  <c r="S16" i="72"/>
  <c r="AA6" i="72"/>
  <c r="AI12" i="72"/>
  <c r="AM15" i="72"/>
  <c r="AQ18" i="72"/>
  <c r="AU21" i="72"/>
  <c r="AU5" i="72"/>
  <c r="AY8" i="72"/>
  <c r="BG14" i="72"/>
  <c r="BO20" i="72"/>
  <c r="BO4" i="72"/>
  <c r="BW10" i="72"/>
  <c r="CA13" i="72"/>
  <c r="CE16" i="72"/>
  <c r="CI19" i="72"/>
  <c r="CM6" i="72"/>
  <c r="CU12" i="72"/>
  <c r="DC18" i="72"/>
  <c r="DK8" i="72"/>
  <c r="DO11" i="72"/>
  <c r="BF22" i="72"/>
  <c r="AA21" i="72"/>
  <c r="AA5" i="72"/>
  <c r="AI11" i="72"/>
  <c r="AM14" i="72"/>
  <c r="AQ17" i="72"/>
  <c r="AU20" i="72"/>
  <c r="AU4" i="72"/>
  <c r="AY7" i="72"/>
  <c r="BG13" i="72"/>
  <c r="BO19" i="72"/>
  <c r="BW9" i="72"/>
  <c r="CA12" i="72"/>
  <c r="CE15" i="72"/>
  <c r="CI18" i="72"/>
  <c r="CM21" i="72"/>
  <c r="CM5" i="72"/>
  <c r="CU11" i="72"/>
  <c r="DC17" i="72"/>
  <c r="DK7" i="72"/>
  <c r="DO10" i="72"/>
  <c r="N22" i="72"/>
  <c r="AL22" i="72"/>
  <c r="CX22" i="72"/>
  <c r="S14" i="72"/>
  <c r="AA20" i="72"/>
  <c r="AA4" i="72"/>
  <c r="AI10" i="72"/>
  <c r="AM13" i="72"/>
  <c r="AQ16" i="72"/>
  <c r="AU19" i="72"/>
  <c r="AY6" i="72"/>
  <c r="BG12" i="72"/>
  <c r="BO18" i="72"/>
  <c r="BW8" i="72"/>
  <c r="CA11" i="72"/>
  <c r="CE14" i="72"/>
  <c r="CI17" i="72"/>
  <c r="CM20" i="72"/>
  <c r="CM4" i="72"/>
  <c r="CU10" i="72"/>
  <c r="DC16" i="72"/>
  <c r="DK6" i="72"/>
  <c r="DO9" i="72"/>
  <c r="J19" i="72"/>
  <c r="DZ19" i="72" s="1"/>
  <c r="J18" i="72"/>
  <c r="DZ18" i="72" s="1"/>
  <c r="J17" i="72"/>
  <c r="DZ17" i="72" s="1"/>
  <c r="J16" i="72"/>
  <c r="DZ16" i="72" s="1"/>
  <c r="R22" i="72"/>
  <c r="CD22" i="72"/>
  <c r="S13" i="72"/>
  <c r="AA19" i="72"/>
  <c r="AI9" i="72"/>
  <c r="AM12" i="72"/>
  <c r="AQ15" i="72"/>
  <c r="AU18" i="72"/>
  <c r="AY21" i="72"/>
  <c r="AY5" i="72"/>
  <c r="BG11" i="72"/>
  <c r="BO17" i="72"/>
  <c r="BW7" i="72"/>
  <c r="CA10" i="72"/>
  <c r="CE13" i="72"/>
  <c r="CI16" i="72"/>
  <c r="CM19" i="72"/>
  <c r="CU9" i="72"/>
  <c r="DC15" i="72"/>
  <c r="DK21" i="72"/>
  <c r="DK5" i="72"/>
  <c r="DO8" i="72"/>
  <c r="BJ22" i="72"/>
  <c r="AA18" i="72"/>
  <c r="AI8" i="72"/>
  <c r="AM11" i="72"/>
  <c r="AQ14" i="72"/>
  <c r="AU17" i="72"/>
  <c r="AY20" i="72"/>
  <c r="AY4" i="72"/>
  <c r="BG10" i="72"/>
  <c r="BO16" i="72"/>
  <c r="BW6" i="72"/>
  <c r="CA9" i="72"/>
  <c r="CE12" i="72"/>
  <c r="CI15" i="72"/>
  <c r="CM18" i="72"/>
  <c r="CU8" i="72"/>
  <c r="DC14" i="72"/>
  <c r="DK20" i="72"/>
  <c r="DK4" i="72"/>
  <c r="DO7" i="72"/>
  <c r="J8" i="72"/>
  <c r="DZ8" i="72" s="1"/>
  <c r="J4" i="72"/>
  <c r="J15" i="72"/>
  <c r="DZ15" i="72" s="1"/>
  <c r="J14" i="72"/>
  <c r="DZ14" i="72" s="1"/>
  <c r="AP22" i="72"/>
  <c r="DB22" i="72"/>
  <c r="S11" i="72"/>
  <c r="AA17" i="72"/>
  <c r="AI7" i="72"/>
  <c r="AM10" i="72"/>
  <c r="AQ13" i="72"/>
  <c r="AU16" i="72"/>
  <c r="AY19" i="72"/>
  <c r="BG9" i="72"/>
  <c r="BO15" i="72"/>
  <c r="BW21" i="72"/>
  <c r="BW5" i="72"/>
  <c r="CA8" i="72"/>
  <c r="CE11" i="72"/>
  <c r="CI14" i="72"/>
  <c r="CM17" i="72"/>
  <c r="CU7" i="72"/>
  <c r="DC13" i="72"/>
  <c r="DK19" i="72"/>
  <c r="DO6" i="72"/>
  <c r="AH22" i="72"/>
  <c r="S10" i="72"/>
  <c r="AA16" i="72"/>
  <c r="AI6" i="72"/>
  <c r="AM9" i="72"/>
  <c r="AQ12" i="72"/>
  <c r="AU15" i="72"/>
  <c r="AY18" i="72"/>
  <c r="BG8" i="72"/>
  <c r="BO14" i="72"/>
  <c r="BW20" i="72"/>
  <c r="BW4" i="72"/>
  <c r="CA7" i="72"/>
  <c r="CE10" i="72"/>
  <c r="CI13" i="72"/>
  <c r="CM16" i="72"/>
  <c r="CU6" i="72"/>
  <c r="DC12" i="72"/>
  <c r="DK18" i="72"/>
  <c r="DO21" i="72"/>
  <c r="DO5" i="72"/>
  <c r="BN22" i="72"/>
  <c r="AA15" i="72"/>
  <c r="AI21" i="72"/>
  <c r="AI5" i="72"/>
  <c r="AM8" i="72"/>
  <c r="AQ11" i="72"/>
  <c r="AU14" i="72"/>
  <c r="AY17" i="72"/>
  <c r="BG7" i="72"/>
  <c r="BO13" i="72"/>
  <c r="BW19" i="72"/>
  <c r="CA6" i="72"/>
  <c r="CE9" i="72"/>
  <c r="CI12" i="72"/>
  <c r="CM15" i="72"/>
  <c r="CU21" i="72"/>
  <c r="CU5" i="72"/>
  <c r="DC11" i="72"/>
  <c r="DK17" i="72"/>
  <c r="DO20" i="72"/>
  <c r="DO4" i="72"/>
  <c r="CH22" i="72"/>
  <c r="J12" i="72"/>
  <c r="DZ12" i="72" s="1"/>
  <c r="J11" i="72"/>
  <c r="DZ11" i="72" s="1"/>
  <c r="AT22" i="72"/>
  <c r="DF22" i="72"/>
  <c r="S8" i="72"/>
  <c r="AA14" i="72"/>
  <c r="AI20" i="72"/>
  <c r="AI4" i="72"/>
  <c r="AM7" i="72"/>
  <c r="AQ10" i="72"/>
  <c r="AU13" i="72"/>
  <c r="AY16" i="72"/>
  <c r="BG6" i="72"/>
  <c r="BO12" i="72"/>
  <c r="BW18" i="72"/>
  <c r="CA21" i="72"/>
  <c r="CA5" i="72"/>
  <c r="CE8" i="72"/>
  <c r="CI11" i="72"/>
  <c r="CM14" i="72"/>
  <c r="CU20" i="72"/>
  <c r="CU4" i="72"/>
  <c r="DC10" i="72"/>
  <c r="DK16" i="72"/>
  <c r="DO19" i="72"/>
  <c r="J13" i="72"/>
  <c r="DZ13" i="72" s="1"/>
  <c r="V22" i="72"/>
  <c r="J10" i="72"/>
  <c r="DZ10" i="72" s="1"/>
  <c r="Z22" i="72"/>
  <c r="CL22" i="72"/>
  <c r="AA13" i="72"/>
  <c r="AI19" i="72"/>
  <c r="AM6" i="72"/>
  <c r="AQ9" i="72"/>
  <c r="AU12" i="72"/>
  <c r="AY15" i="72"/>
  <c r="BG21" i="72"/>
  <c r="BG5" i="72"/>
  <c r="BO11" i="72"/>
  <c r="BW17" i="72"/>
  <c r="CA20" i="72"/>
  <c r="CA4" i="72"/>
  <c r="CE7" i="72"/>
  <c r="CI10" i="72"/>
  <c r="CM13" i="72"/>
  <c r="CU19" i="72"/>
  <c r="DC9" i="72"/>
  <c r="DK15" i="72"/>
  <c r="DO18" i="72"/>
  <c r="AO22" i="72"/>
  <c r="AQ3" i="72"/>
  <c r="DA22" i="72"/>
  <c r="DC3" i="72"/>
  <c r="I15" i="72"/>
  <c r="H15" i="14"/>
  <c r="CI3" i="72"/>
  <c r="CG22" i="72"/>
  <c r="I13" i="72"/>
  <c r="H13" i="14"/>
  <c r="I12" i="72"/>
  <c r="H12" i="14"/>
  <c r="BO3" i="72"/>
  <c r="BM22" i="72"/>
  <c r="BI22" i="72"/>
  <c r="DE22" i="72"/>
  <c r="I10" i="72"/>
  <c r="H10" i="14"/>
  <c r="AA3" i="72"/>
  <c r="Y22" i="72"/>
  <c r="CM3" i="72"/>
  <c r="CK22" i="72"/>
  <c r="J22" i="11"/>
  <c r="Q3" i="72"/>
  <c r="BQ22" i="72"/>
  <c r="I8" i="72"/>
  <c r="H8" i="14"/>
  <c r="AY3" i="72"/>
  <c r="AW22" i="72"/>
  <c r="DK3" i="72"/>
  <c r="DI22" i="72"/>
  <c r="I7" i="72"/>
  <c r="H7" i="14"/>
  <c r="AC22" i="72"/>
  <c r="CO22" i="72"/>
  <c r="I3" i="72"/>
  <c r="H3" i="14"/>
  <c r="BW3" i="72"/>
  <c r="BU22" i="72"/>
  <c r="AI17" i="72"/>
  <c r="I14" i="72"/>
  <c r="H14" i="14"/>
  <c r="AS22" i="72"/>
  <c r="AU3" i="72"/>
  <c r="I6" i="72"/>
  <c r="H6" i="14"/>
  <c r="I21" i="72"/>
  <c r="I5" i="72"/>
  <c r="H5" i="14"/>
  <c r="BA22" i="72"/>
  <c r="DO3" i="72"/>
  <c r="DM22" i="72"/>
  <c r="I16" i="72"/>
  <c r="H16" i="14"/>
  <c r="Z22" i="11"/>
  <c r="CC3" i="72"/>
  <c r="U22" i="72"/>
  <c r="I11" i="72"/>
  <c r="H11" i="14"/>
  <c r="I9" i="72"/>
  <c r="H9" i="14"/>
  <c r="I20" i="72"/>
  <c r="CS22" i="72"/>
  <c r="CU3" i="72"/>
  <c r="AG22" i="72"/>
  <c r="AI3" i="72"/>
  <c r="I19" i="72"/>
  <c r="H19" i="14"/>
  <c r="M22" i="72"/>
  <c r="BY22" i="72"/>
  <c r="CA3" i="72"/>
  <c r="I18" i="72"/>
  <c r="H18" i="14"/>
  <c r="BG3" i="72"/>
  <c r="BE22" i="72"/>
  <c r="I4" i="72"/>
  <c r="H4" i="14"/>
  <c r="I17" i="72"/>
  <c r="H17" i="14"/>
  <c r="AM3" i="72"/>
  <c r="AK22" i="72"/>
  <c r="CW22" i="72"/>
  <c r="R22" i="11"/>
  <c r="AH22" i="11"/>
  <c r="AF22" i="11"/>
  <c r="K22" i="11"/>
  <c r="S22" i="11"/>
  <c r="AA22" i="11"/>
  <c r="AI22" i="11"/>
  <c r="U22" i="11"/>
  <c r="P22" i="11"/>
  <c r="I22" i="11"/>
  <c r="Q22" i="11"/>
  <c r="Y22" i="11"/>
  <c r="AG22" i="11"/>
  <c r="M22" i="11"/>
  <c r="AC22" i="11"/>
  <c r="H22" i="11"/>
  <c r="N22" i="11"/>
  <c r="L22" i="11"/>
  <c r="T22" i="11"/>
  <c r="AB22" i="11"/>
  <c r="X22" i="11"/>
  <c r="V22" i="11"/>
  <c r="AD22" i="11"/>
  <c r="O22" i="11"/>
  <c r="W22" i="11"/>
  <c r="AE22" i="11"/>
  <c r="T21" i="14"/>
  <c r="U21" i="52"/>
  <c r="AD11" i="14"/>
  <c r="AE11" i="52"/>
  <c r="R3" i="14"/>
  <c r="R22" i="12"/>
  <c r="Z3" i="14"/>
  <c r="Z22" i="12"/>
  <c r="AB12" i="14"/>
  <c r="AC12" i="52"/>
  <c r="AH3" i="14"/>
  <c r="AH22" i="12"/>
  <c r="J21" i="14"/>
  <c r="J13" i="14"/>
  <c r="M22" i="12"/>
  <c r="N17" i="14"/>
  <c r="O17" i="52"/>
  <c r="N9" i="14"/>
  <c r="O9" i="52"/>
  <c r="P15" i="14"/>
  <c r="Q15" i="52"/>
  <c r="P7" i="14"/>
  <c r="Q7" i="52"/>
  <c r="R21" i="14"/>
  <c r="S21" i="52"/>
  <c r="R13" i="14"/>
  <c r="S13" i="52"/>
  <c r="R5" i="14"/>
  <c r="S5" i="52"/>
  <c r="T19" i="14"/>
  <c r="U19" i="52"/>
  <c r="T11" i="14"/>
  <c r="U11" i="52"/>
  <c r="U22" i="12"/>
  <c r="X15" i="14"/>
  <c r="Y15" i="52"/>
  <c r="X7" i="14"/>
  <c r="Y7" i="52"/>
  <c r="Z21" i="14"/>
  <c r="AA21" i="52"/>
  <c r="Z13" i="14"/>
  <c r="AA13" i="52"/>
  <c r="Z5" i="14"/>
  <c r="AA5" i="52"/>
  <c r="AB19" i="14"/>
  <c r="AC19" i="52"/>
  <c r="AB11" i="14"/>
  <c r="AC11" i="52"/>
  <c r="AC22" i="12"/>
  <c r="AD17" i="14"/>
  <c r="AE17" i="52"/>
  <c r="AD9" i="14"/>
  <c r="AE9" i="52"/>
  <c r="AH21" i="14"/>
  <c r="AI21" i="52"/>
  <c r="AH13" i="14"/>
  <c r="AI13" i="52"/>
  <c r="AH5" i="14"/>
  <c r="AI5" i="52"/>
  <c r="P17" i="14"/>
  <c r="Q17" i="52"/>
  <c r="R7" i="14"/>
  <c r="S7" i="52"/>
  <c r="AB13" i="14"/>
  <c r="AC13" i="52"/>
  <c r="AD19" i="14"/>
  <c r="AE19" i="52"/>
  <c r="J14" i="14"/>
  <c r="T12" i="14"/>
  <c r="U12" i="52"/>
  <c r="H22" i="12"/>
  <c r="J20" i="14"/>
  <c r="J4" i="14"/>
  <c r="N16" i="14"/>
  <c r="O16" i="52"/>
  <c r="N8" i="14"/>
  <c r="O8" i="52"/>
  <c r="P3" i="14"/>
  <c r="P22" i="12"/>
  <c r="P14" i="14"/>
  <c r="Q14" i="52"/>
  <c r="P6" i="14"/>
  <c r="Q6" i="52"/>
  <c r="R20" i="14"/>
  <c r="S20" i="52"/>
  <c r="R12" i="14"/>
  <c r="S12" i="52"/>
  <c r="R4" i="14"/>
  <c r="S4" i="52"/>
  <c r="T18" i="14"/>
  <c r="U18" i="52"/>
  <c r="T10" i="14"/>
  <c r="U10" i="52"/>
  <c r="X3" i="14"/>
  <c r="X22" i="12"/>
  <c r="X14" i="14"/>
  <c r="Y14" i="52"/>
  <c r="X6" i="14"/>
  <c r="Y6" i="52"/>
  <c r="Z20" i="14"/>
  <c r="AA20" i="52"/>
  <c r="Z12" i="14"/>
  <c r="AA12" i="52"/>
  <c r="Z4" i="14"/>
  <c r="AA4" i="52"/>
  <c r="AB18" i="14"/>
  <c r="AC18" i="52"/>
  <c r="AB10" i="14"/>
  <c r="AC10" i="52"/>
  <c r="AD16" i="14"/>
  <c r="AE16" i="52"/>
  <c r="AD8" i="14"/>
  <c r="AE8" i="52"/>
  <c r="AF22" i="12"/>
  <c r="AH20" i="14"/>
  <c r="AI20" i="52"/>
  <c r="AH12" i="14"/>
  <c r="AI12" i="52"/>
  <c r="AH4" i="14"/>
  <c r="AI4" i="52"/>
  <c r="N11" i="14"/>
  <c r="O11" i="52"/>
  <c r="X9" i="14"/>
  <c r="Y9" i="52"/>
  <c r="AB21" i="14"/>
  <c r="AC21" i="52"/>
  <c r="AH7" i="14"/>
  <c r="AI7" i="52"/>
  <c r="R14" i="14"/>
  <c r="S14" i="52"/>
  <c r="T4" i="14"/>
  <c r="U4" i="52"/>
  <c r="AB20" i="14"/>
  <c r="AC20" i="52"/>
  <c r="AD10" i="14"/>
  <c r="AE10" i="52"/>
  <c r="H21" i="14"/>
  <c r="J19" i="14"/>
  <c r="J11" i="14"/>
  <c r="K22" i="12"/>
  <c r="N15" i="14"/>
  <c r="O15" i="52"/>
  <c r="O7" i="52"/>
  <c r="N7" i="14"/>
  <c r="P21" i="14"/>
  <c r="Q21" i="52"/>
  <c r="P13" i="14"/>
  <c r="Q13" i="52"/>
  <c r="Q5" i="52"/>
  <c r="P5" i="14"/>
  <c r="R19" i="14"/>
  <c r="S19" i="52"/>
  <c r="R11" i="14"/>
  <c r="S11" i="52"/>
  <c r="S22" i="12"/>
  <c r="T17" i="14"/>
  <c r="U17" i="52"/>
  <c r="T9" i="14"/>
  <c r="U9" i="52"/>
  <c r="X21" i="14"/>
  <c r="Y21" i="52"/>
  <c r="X13" i="14"/>
  <c r="Y13" i="52"/>
  <c r="Y5" i="52"/>
  <c r="X5" i="14"/>
  <c r="Z19" i="14"/>
  <c r="AA19" i="52"/>
  <c r="Z11" i="14"/>
  <c r="AA11" i="52"/>
  <c r="AA22" i="12"/>
  <c r="AB17" i="14"/>
  <c r="AC17" i="52"/>
  <c r="AB9" i="14"/>
  <c r="AC9" i="52"/>
  <c r="AD15" i="14"/>
  <c r="AE15" i="52"/>
  <c r="AE7" i="52"/>
  <c r="AD7" i="14"/>
  <c r="AH19" i="14"/>
  <c r="AI19" i="52"/>
  <c r="AH11" i="14"/>
  <c r="AI11" i="52"/>
  <c r="AI22" i="12"/>
  <c r="N19" i="14"/>
  <c r="O19" i="52"/>
  <c r="P9" i="14"/>
  <c r="Q9" i="52"/>
  <c r="X17" i="14"/>
  <c r="Y17" i="52"/>
  <c r="Z7" i="14"/>
  <c r="AA7" i="52"/>
  <c r="AH15" i="14"/>
  <c r="AI15" i="52"/>
  <c r="P16" i="14"/>
  <c r="Q16" i="52"/>
  <c r="R6" i="14"/>
  <c r="S6" i="52"/>
  <c r="T20" i="14"/>
  <c r="U20" i="52"/>
  <c r="X8" i="14"/>
  <c r="Y8" i="52"/>
  <c r="Z6" i="14"/>
  <c r="AA6" i="52"/>
  <c r="AB4" i="14"/>
  <c r="AC4" i="52"/>
  <c r="AH14" i="14"/>
  <c r="AI14" i="52"/>
  <c r="H20" i="14"/>
  <c r="I20" i="52"/>
  <c r="J18" i="14"/>
  <c r="J10" i="14"/>
  <c r="N3" i="14"/>
  <c r="N22" i="12"/>
  <c r="N14" i="14"/>
  <c r="O14" i="52"/>
  <c r="N6" i="14"/>
  <c r="O6" i="52"/>
  <c r="P20" i="14"/>
  <c r="Q20" i="52"/>
  <c r="P12" i="14"/>
  <c r="Q12" i="52"/>
  <c r="P4" i="14"/>
  <c r="Q4" i="52"/>
  <c r="R18" i="14"/>
  <c r="S18" i="52"/>
  <c r="R10" i="14"/>
  <c r="S10" i="52"/>
  <c r="T16" i="14"/>
  <c r="U16" i="52"/>
  <c r="T8" i="14"/>
  <c r="U8" i="52"/>
  <c r="V22" i="12"/>
  <c r="X20" i="14"/>
  <c r="Y20" i="52"/>
  <c r="X12" i="14"/>
  <c r="Y12" i="52"/>
  <c r="X4" i="14"/>
  <c r="Y4" i="52"/>
  <c r="Z18" i="14"/>
  <c r="AA18" i="52"/>
  <c r="Z10" i="14"/>
  <c r="AA10" i="52"/>
  <c r="AB16" i="14"/>
  <c r="AC16" i="52"/>
  <c r="AB8" i="14"/>
  <c r="AC8" i="52"/>
  <c r="AD3" i="14"/>
  <c r="AD22" i="12"/>
  <c r="AD14" i="14"/>
  <c r="AE14" i="52"/>
  <c r="AD6" i="14"/>
  <c r="AE6" i="52"/>
  <c r="AH18" i="14"/>
  <c r="AI18" i="52"/>
  <c r="AH10" i="14"/>
  <c r="AI10" i="52"/>
  <c r="O22" i="12"/>
  <c r="T13" i="14"/>
  <c r="U13" i="52"/>
  <c r="N10" i="14"/>
  <c r="O10" i="52"/>
  <c r="Z14" i="14"/>
  <c r="AA14" i="52"/>
  <c r="AH6" i="14"/>
  <c r="AI6" i="52"/>
  <c r="I22" i="12"/>
  <c r="J17" i="14"/>
  <c r="N21" i="14"/>
  <c r="O21" i="52"/>
  <c r="N13" i="14"/>
  <c r="O13" i="52"/>
  <c r="N5" i="14"/>
  <c r="O5" i="52"/>
  <c r="P19" i="14"/>
  <c r="Q19" i="52"/>
  <c r="P11" i="14"/>
  <c r="Q11" i="52"/>
  <c r="Q22" i="12"/>
  <c r="R17" i="14"/>
  <c r="S17" i="52"/>
  <c r="R9" i="14"/>
  <c r="S9" i="52"/>
  <c r="T15" i="14"/>
  <c r="U15" i="52"/>
  <c r="U7" i="52"/>
  <c r="T7" i="14"/>
  <c r="X19" i="14"/>
  <c r="Y19" i="52"/>
  <c r="X11" i="14"/>
  <c r="Y11" i="52"/>
  <c r="Y22" i="12"/>
  <c r="Z17" i="14"/>
  <c r="AA17" i="52"/>
  <c r="Z9" i="14"/>
  <c r="AA9" i="52"/>
  <c r="AB15" i="14"/>
  <c r="AC15" i="52"/>
  <c r="AC7" i="52"/>
  <c r="AB7" i="14"/>
  <c r="AD21" i="14"/>
  <c r="AE21" i="52"/>
  <c r="AD13" i="14"/>
  <c r="AE13" i="52"/>
  <c r="AD5" i="14"/>
  <c r="AE5" i="52"/>
  <c r="AG22" i="12"/>
  <c r="AH17" i="14"/>
  <c r="AI17" i="52"/>
  <c r="AH9" i="14"/>
  <c r="AI9" i="52"/>
  <c r="R15" i="14"/>
  <c r="S15" i="52"/>
  <c r="T5" i="14"/>
  <c r="U5" i="52"/>
  <c r="W22" i="12"/>
  <c r="Z15" i="14"/>
  <c r="AA15" i="52"/>
  <c r="AB5" i="14"/>
  <c r="AC5" i="52"/>
  <c r="AE22" i="12"/>
  <c r="J22" i="12"/>
  <c r="N18" i="14"/>
  <c r="O18" i="52"/>
  <c r="P8" i="14"/>
  <c r="Q8" i="52"/>
  <c r="X16" i="14"/>
  <c r="Y16" i="52"/>
  <c r="AD18" i="14"/>
  <c r="AE18" i="52"/>
  <c r="J16" i="14"/>
  <c r="J8" i="14"/>
  <c r="L22" i="12"/>
  <c r="N20" i="14"/>
  <c r="O20" i="52"/>
  <c r="N12" i="14"/>
  <c r="O12" i="52"/>
  <c r="N4" i="14"/>
  <c r="O4" i="52"/>
  <c r="P18" i="14"/>
  <c r="Q18" i="52"/>
  <c r="P10" i="14"/>
  <c r="Q10" i="52"/>
  <c r="R16" i="14"/>
  <c r="S16" i="52"/>
  <c r="R8" i="14"/>
  <c r="S8" i="52"/>
  <c r="T3" i="14"/>
  <c r="T22" i="12"/>
  <c r="T14" i="14"/>
  <c r="U14" i="52"/>
  <c r="T6" i="14"/>
  <c r="U6" i="52"/>
  <c r="X18" i="14"/>
  <c r="Y18" i="52"/>
  <c r="X10" i="14"/>
  <c r="Y10" i="52"/>
  <c r="Z16" i="14"/>
  <c r="AA16" i="52"/>
  <c r="Z8" i="14"/>
  <c r="AA8" i="52"/>
  <c r="AB3" i="14"/>
  <c r="AB22" i="12"/>
  <c r="AB14" i="14"/>
  <c r="AC14" i="52"/>
  <c r="AB6" i="14"/>
  <c r="AC6" i="52"/>
  <c r="AD20" i="14"/>
  <c r="AE20" i="52"/>
  <c r="AD12" i="14"/>
  <c r="AE12" i="52"/>
  <c r="AD4" i="14"/>
  <c r="AE4" i="52"/>
  <c r="AH16" i="14"/>
  <c r="AI16" i="52"/>
  <c r="AH8" i="14"/>
  <c r="AI8" i="52"/>
  <c r="AM20" i="12"/>
  <c r="AM20" i="11"/>
  <c r="AM21" i="11"/>
  <c r="AM21" i="12"/>
  <c r="DZ4" i="72" l="1"/>
  <c r="J25" i="72"/>
  <c r="K17" i="72"/>
  <c r="K5" i="72"/>
  <c r="K21" i="72"/>
  <c r="K9" i="72"/>
  <c r="CA22" i="72"/>
  <c r="BO22" i="72"/>
  <c r="AQ22" i="72"/>
  <c r="AM22" i="72"/>
  <c r="DO22" i="72"/>
  <c r="DK22" i="72"/>
  <c r="DC22" i="72"/>
  <c r="CU22" i="72"/>
  <c r="CM22" i="72"/>
  <c r="CI22" i="72"/>
  <c r="BW22" i="72"/>
  <c r="BG22" i="72"/>
  <c r="AY22" i="72"/>
  <c r="AU22" i="72"/>
  <c r="AI22" i="72"/>
  <c r="AA22" i="72"/>
  <c r="DZ3" i="72"/>
  <c r="DZ22" i="72" s="1"/>
  <c r="J22" i="72"/>
  <c r="DY10" i="72"/>
  <c r="K10" i="72"/>
  <c r="DY13" i="72"/>
  <c r="K13" i="72"/>
  <c r="DY11" i="72"/>
  <c r="K11" i="72"/>
  <c r="DY8" i="72"/>
  <c r="K8" i="72"/>
  <c r="DY3" i="72"/>
  <c r="I22" i="72"/>
  <c r="K3" i="72"/>
  <c r="DY4" i="72"/>
  <c r="K4" i="72"/>
  <c r="DY19" i="72"/>
  <c r="K19" i="72"/>
  <c r="CE3" i="72"/>
  <c r="CE22" i="72" s="1"/>
  <c r="CC22" i="72"/>
  <c r="DY15" i="72"/>
  <c r="K15" i="72"/>
  <c r="DY6" i="72"/>
  <c r="K6" i="72"/>
  <c r="Q22" i="72"/>
  <c r="DY9" i="72"/>
  <c r="DY16" i="72"/>
  <c r="K16" i="72"/>
  <c r="DY5" i="72"/>
  <c r="DY7" i="72"/>
  <c r="K7" i="72"/>
  <c r="DY14" i="72"/>
  <c r="K14" i="72"/>
  <c r="DY21" i="72"/>
  <c r="DY18" i="72"/>
  <c r="K18" i="72"/>
  <c r="DY20" i="72"/>
  <c r="K20" i="72"/>
  <c r="DY12" i="72"/>
  <c r="K12" i="72"/>
  <c r="DY17" i="72"/>
  <c r="E17" i="12"/>
  <c r="AK21" i="9"/>
  <c r="AI21" i="14"/>
  <c r="AG21" i="9"/>
  <c r="AF21" i="14"/>
  <c r="AE21" i="9"/>
  <c r="AC21" i="9"/>
  <c r="AA21" i="14"/>
  <c r="Y21" i="14"/>
  <c r="W21" i="9"/>
  <c r="V21" i="14"/>
  <c r="U21" i="9"/>
  <c r="S21" i="9"/>
  <c r="Q21" i="14"/>
  <c r="O21" i="14"/>
  <c r="M21" i="9"/>
  <c r="L21" i="14"/>
  <c r="K21" i="9"/>
  <c r="AI20" i="14"/>
  <c r="AG20" i="9"/>
  <c r="AF20" i="14"/>
  <c r="AE20" i="9"/>
  <c r="AC20" i="9"/>
  <c r="AA20" i="14"/>
  <c r="Y20" i="14"/>
  <c r="W20" i="9"/>
  <c r="V20" i="14"/>
  <c r="U20" i="9"/>
  <c r="S20" i="9"/>
  <c r="Q20" i="14"/>
  <c r="O20" i="14"/>
  <c r="M20" i="9"/>
  <c r="L20" i="14"/>
  <c r="K20" i="9"/>
  <c r="AL22" i="9"/>
  <c r="AJ22" i="9"/>
  <c r="AH22" i="9"/>
  <c r="AD22" i="9"/>
  <c r="AB22" i="9"/>
  <c r="Z22" i="9"/>
  <c r="X22" i="9"/>
  <c r="T22" i="9"/>
  <c r="R22" i="9"/>
  <c r="P22" i="9"/>
  <c r="N22" i="9"/>
  <c r="AK21" i="43"/>
  <c r="AL21" i="52" s="1"/>
  <c r="AJ21" i="52"/>
  <c r="AG21" i="43"/>
  <c r="AH21" i="52" s="1"/>
  <c r="AG21" i="52"/>
  <c r="AE21" i="43"/>
  <c r="AF21" i="52" s="1"/>
  <c r="AC21" i="43"/>
  <c r="AD21" i="52" s="1"/>
  <c r="AB21" i="52"/>
  <c r="Z21" i="52"/>
  <c r="W21" i="43"/>
  <c r="X21" i="52" s="1"/>
  <c r="W21" i="52"/>
  <c r="U21" i="43"/>
  <c r="V21" i="52" s="1"/>
  <c r="S21" i="43"/>
  <c r="T21" i="52" s="1"/>
  <c r="R21" i="52"/>
  <c r="P21" i="52"/>
  <c r="M21" i="43"/>
  <c r="N21" i="52" s="1"/>
  <c r="M21" i="52"/>
  <c r="K21" i="43"/>
  <c r="L21" i="52" s="1"/>
  <c r="AK20" i="43"/>
  <c r="AL20" i="52" s="1"/>
  <c r="AJ20" i="52"/>
  <c r="AG20" i="43"/>
  <c r="AH20" i="52" s="1"/>
  <c r="AG20" i="52"/>
  <c r="AE20" i="43"/>
  <c r="AF20" i="52" s="1"/>
  <c r="AC20" i="43"/>
  <c r="AD20" i="52" s="1"/>
  <c r="AB20" i="52"/>
  <c r="Z20" i="52"/>
  <c r="W20" i="43"/>
  <c r="X20" i="52" s="1"/>
  <c r="W20" i="52"/>
  <c r="U20" i="43"/>
  <c r="V20" i="52" s="1"/>
  <c r="S20" i="43"/>
  <c r="T20" i="52" s="1"/>
  <c r="R20" i="52"/>
  <c r="P20" i="52"/>
  <c r="M20" i="43"/>
  <c r="N20" i="52" s="1"/>
  <c r="M20" i="52"/>
  <c r="K20" i="43"/>
  <c r="L20" i="52" s="1"/>
  <c r="K20" i="52"/>
  <c r="AL22" i="43"/>
  <c r="AJ22" i="43"/>
  <c r="AH22" i="43"/>
  <c r="AD22" i="43"/>
  <c r="AB22" i="43"/>
  <c r="Z22" i="43"/>
  <c r="X22" i="43"/>
  <c r="T22" i="43"/>
  <c r="R22" i="43"/>
  <c r="P22" i="43"/>
  <c r="N22" i="43"/>
  <c r="AK21" i="14" l="1"/>
  <c r="M20" i="14"/>
  <c r="AB20" i="72"/>
  <c r="AE20" i="72" s="1"/>
  <c r="S20" i="14"/>
  <c r="AZ20" i="72"/>
  <c r="BC20" i="72" s="1"/>
  <c r="S21" i="14"/>
  <c r="AZ21" i="72"/>
  <c r="BC21" i="72" s="1"/>
  <c r="U20" i="14"/>
  <c r="BH20" i="72"/>
  <c r="BK20" i="72" s="1"/>
  <c r="U21" i="14"/>
  <c r="BH21" i="72"/>
  <c r="BK21" i="72" s="1"/>
  <c r="M21" i="14"/>
  <c r="AB21" i="72"/>
  <c r="AE21" i="72" s="1"/>
  <c r="W20" i="14"/>
  <c r="BP20" i="72"/>
  <c r="BS20" i="72" s="1"/>
  <c r="W21" i="14"/>
  <c r="BP21" i="72"/>
  <c r="BS21" i="72" s="1"/>
  <c r="AC20" i="14"/>
  <c r="CN20" i="72"/>
  <c r="CQ20" i="72" s="1"/>
  <c r="AC21" i="14"/>
  <c r="CN21" i="72"/>
  <c r="CQ21" i="72" s="1"/>
  <c r="AE20" i="14"/>
  <c r="CV20" i="72"/>
  <c r="CY20" i="72" s="1"/>
  <c r="AE21" i="14"/>
  <c r="CV21" i="72"/>
  <c r="CY21" i="72" s="1"/>
  <c r="AG20" i="14"/>
  <c r="DD20" i="72"/>
  <c r="DG20" i="72" s="1"/>
  <c r="AG21" i="14"/>
  <c r="DD21" i="72"/>
  <c r="DG21" i="72" s="1"/>
  <c r="K20" i="14"/>
  <c r="T20" i="72"/>
  <c r="W20" i="72" s="1"/>
  <c r="K21" i="14"/>
  <c r="T21" i="72"/>
  <c r="W21" i="72" s="1"/>
  <c r="DT21" i="72"/>
  <c r="DW21" i="72" s="1"/>
  <c r="K22" i="72"/>
  <c r="K23" i="72" s="1"/>
  <c r="DY22" i="72"/>
  <c r="M20" i="42"/>
  <c r="S20" i="42"/>
  <c r="U20" i="42"/>
  <c r="W20" i="42"/>
  <c r="AC20" i="42"/>
  <c r="AE20" i="42"/>
  <c r="AG20" i="42"/>
  <c r="AK20" i="42"/>
  <c r="M21" i="42"/>
  <c r="S21" i="42"/>
  <c r="U21" i="42"/>
  <c r="W21" i="42"/>
  <c r="AC21" i="42"/>
  <c r="AE21" i="42"/>
  <c r="AG21" i="42"/>
  <c r="AK21" i="42"/>
  <c r="K20" i="42"/>
  <c r="K21" i="42"/>
  <c r="AL22" i="42"/>
  <c r="AJ22" i="42"/>
  <c r="AH22" i="42"/>
  <c r="AD22" i="42"/>
  <c r="AB22" i="42"/>
  <c r="Z22" i="42"/>
  <c r="X22" i="42"/>
  <c r="T22" i="42"/>
  <c r="R22" i="42"/>
  <c r="P22" i="42"/>
  <c r="N22" i="42"/>
  <c r="J22" i="42"/>
  <c r="K20" i="44"/>
  <c r="M20" i="44"/>
  <c r="S20" i="44"/>
  <c r="U20" i="44"/>
  <c r="W20" i="44"/>
  <c r="AC20" i="44"/>
  <c r="AE20" i="44"/>
  <c r="AG20" i="44"/>
  <c r="AK20" i="44"/>
  <c r="K21" i="44"/>
  <c r="M21" i="44"/>
  <c r="S21" i="44"/>
  <c r="U21" i="44"/>
  <c r="W21" i="44"/>
  <c r="AC21" i="44"/>
  <c r="AE21" i="44"/>
  <c r="AG21" i="44"/>
  <c r="AK21" i="44"/>
  <c r="AL22" i="44"/>
  <c r="AJ22" i="44"/>
  <c r="AH22" i="44"/>
  <c r="AD22" i="44"/>
  <c r="AB22" i="44"/>
  <c r="Z22" i="44"/>
  <c r="X22" i="44"/>
  <c r="T22" i="44"/>
  <c r="R22" i="44"/>
  <c r="P22" i="44"/>
  <c r="N22" i="44"/>
  <c r="J22" i="44"/>
  <c r="AK19" i="9" l="1"/>
  <c r="AI19" i="14"/>
  <c r="AG19" i="9"/>
  <c r="AF19" i="14"/>
  <c r="AE19" i="9"/>
  <c r="AC19" i="9"/>
  <c r="AA19" i="14"/>
  <c r="Y19" i="14"/>
  <c r="W19" i="9"/>
  <c r="V19" i="14"/>
  <c r="U19" i="9"/>
  <c r="S19" i="9"/>
  <c r="Q19" i="14"/>
  <c r="O19" i="14"/>
  <c r="M19" i="9"/>
  <c r="L19" i="14"/>
  <c r="K19" i="9"/>
  <c r="AK18" i="9"/>
  <c r="AI18" i="14"/>
  <c r="AG18" i="9"/>
  <c r="AF18" i="14"/>
  <c r="AE18" i="9"/>
  <c r="AC18" i="9"/>
  <c r="AA18" i="14"/>
  <c r="Y18" i="14"/>
  <c r="W18" i="9"/>
  <c r="V18" i="14"/>
  <c r="U18" i="9"/>
  <c r="S18" i="9"/>
  <c r="Q18" i="14"/>
  <c r="O18" i="14"/>
  <c r="M18" i="9"/>
  <c r="L18" i="14"/>
  <c r="K18" i="9"/>
  <c r="AK17" i="9"/>
  <c r="AI17" i="14"/>
  <c r="AG17" i="9"/>
  <c r="AF17" i="14"/>
  <c r="AE17" i="9"/>
  <c r="AC17" i="9"/>
  <c r="AA17" i="14"/>
  <c r="Y17" i="14"/>
  <c r="W17" i="9"/>
  <c r="V17" i="14"/>
  <c r="U17" i="9"/>
  <c r="S17" i="9"/>
  <c r="Q17" i="14"/>
  <c r="O17" i="14"/>
  <c r="M17" i="9"/>
  <c r="L17" i="14"/>
  <c r="K17" i="9"/>
  <c r="AK16" i="9"/>
  <c r="AI16" i="14"/>
  <c r="AG16" i="9"/>
  <c r="AF16" i="14"/>
  <c r="AE16" i="9"/>
  <c r="AC16" i="9"/>
  <c r="AA16" i="14"/>
  <c r="Y16" i="14"/>
  <c r="W16" i="9"/>
  <c r="V16" i="14"/>
  <c r="U16" i="9"/>
  <c r="S16" i="9"/>
  <c r="Q16" i="14"/>
  <c r="O16" i="14"/>
  <c r="M16" i="9"/>
  <c r="L16" i="14"/>
  <c r="K16" i="9"/>
  <c r="AK15" i="9"/>
  <c r="AI15" i="14"/>
  <c r="AG15" i="9"/>
  <c r="AF15" i="14"/>
  <c r="AE15" i="9"/>
  <c r="AC15" i="9"/>
  <c r="AA15" i="14"/>
  <c r="Y15" i="14"/>
  <c r="W15" i="9"/>
  <c r="V15" i="14"/>
  <c r="U15" i="9"/>
  <c r="S15" i="9"/>
  <c r="Q15" i="14"/>
  <c r="O15" i="14"/>
  <c r="M15" i="9"/>
  <c r="L15" i="14"/>
  <c r="K15" i="9"/>
  <c r="AK14" i="9"/>
  <c r="AI14" i="14"/>
  <c r="AG14" i="9"/>
  <c r="AF14" i="14"/>
  <c r="AE14" i="9"/>
  <c r="AC14" i="9"/>
  <c r="AA14" i="14"/>
  <c r="Y14" i="14"/>
  <c r="W14" i="9"/>
  <c r="V14" i="14"/>
  <c r="U14" i="9"/>
  <c r="S14" i="9"/>
  <c r="Q14" i="14"/>
  <c r="O14" i="14"/>
  <c r="M14" i="9"/>
  <c r="L14" i="14"/>
  <c r="K14" i="9"/>
  <c r="AK13" i="9"/>
  <c r="AI13" i="14"/>
  <c r="AG13" i="9"/>
  <c r="AF13" i="14"/>
  <c r="AE13" i="9"/>
  <c r="AC13" i="9"/>
  <c r="AA13" i="14"/>
  <c r="Y13" i="14"/>
  <c r="W13" i="9"/>
  <c r="V13" i="14"/>
  <c r="U13" i="9"/>
  <c r="S13" i="9"/>
  <c r="Q13" i="14"/>
  <c r="O13" i="14"/>
  <c r="M13" i="9"/>
  <c r="L13" i="14"/>
  <c r="K13" i="9"/>
  <c r="AK12" i="9"/>
  <c r="AI12" i="14"/>
  <c r="AG12" i="9"/>
  <c r="AF12" i="14"/>
  <c r="AE12" i="9"/>
  <c r="AC12" i="9"/>
  <c r="AA12" i="14"/>
  <c r="Y12" i="14"/>
  <c r="W12" i="9"/>
  <c r="V12" i="14"/>
  <c r="U12" i="9"/>
  <c r="S12" i="9"/>
  <c r="Q12" i="14"/>
  <c r="O12" i="14"/>
  <c r="M12" i="9"/>
  <c r="L12" i="14"/>
  <c r="K12" i="9"/>
  <c r="AK11" i="9"/>
  <c r="AI11" i="14"/>
  <c r="AG11" i="9"/>
  <c r="AF11" i="14"/>
  <c r="AE11" i="9"/>
  <c r="AC11" i="9"/>
  <c r="AA11" i="14"/>
  <c r="Y11" i="14"/>
  <c r="W11" i="9"/>
  <c r="V11" i="14"/>
  <c r="U11" i="9"/>
  <c r="S11" i="9"/>
  <c r="Q11" i="14"/>
  <c r="O11" i="14"/>
  <c r="M11" i="9"/>
  <c r="L11" i="14"/>
  <c r="K11" i="9"/>
  <c r="AK10" i="9"/>
  <c r="AI10" i="14"/>
  <c r="AG10" i="9"/>
  <c r="AF10" i="14"/>
  <c r="AE10" i="9"/>
  <c r="AC10" i="9"/>
  <c r="AA10" i="14"/>
  <c r="Y10" i="14"/>
  <c r="W10" i="9"/>
  <c r="V10" i="14"/>
  <c r="U10" i="9"/>
  <c r="S10" i="9"/>
  <c r="Q10" i="14"/>
  <c r="O10" i="14"/>
  <c r="M10" i="9"/>
  <c r="L10" i="14"/>
  <c r="K10" i="9"/>
  <c r="AK9" i="9"/>
  <c r="AI9" i="14"/>
  <c r="AG9" i="9"/>
  <c r="AF9" i="14"/>
  <c r="AE9" i="9"/>
  <c r="AC9" i="9"/>
  <c r="AA9" i="14"/>
  <c r="Y9" i="14"/>
  <c r="W9" i="9"/>
  <c r="V9" i="14"/>
  <c r="U9" i="9"/>
  <c r="S9" i="9"/>
  <c r="Q9" i="14"/>
  <c r="O9" i="14"/>
  <c r="M9" i="9"/>
  <c r="L9" i="14"/>
  <c r="K9" i="9"/>
  <c r="AK8" i="9"/>
  <c r="AI8" i="14"/>
  <c r="AG8" i="9"/>
  <c r="AF8" i="14"/>
  <c r="AE8" i="9"/>
  <c r="AC8" i="9"/>
  <c r="AA8" i="14"/>
  <c r="Y8" i="14"/>
  <c r="W8" i="9"/>
  <c r="V8" i="14"/>
  <c r="U8" i="9"/>
  <c r="S8" i="9"/>
  <c r="Q8" i="14"/>
  <c r="O8" i="14"/>
  <c r="M8" i="9"/>
  <c r="L8" i="14"/>
  <c r="K8" i="9"/>
  <c r="AK7" i="9"/>
  <c r="AI7" i="14"/>
  <c r="AG7" i="9"/>
  <c r="AF7" i="14"/>
  <c r="AE7" i="9"/>
  <c r="AC7" i="9"/>
  <c r="AA7" i="14"/>
  <c r="Y7" i="14"/>
  <c r="W7" i="9"/>
  <c r="V7" i="14"/>
  <c r="U7" i="9"/>
  <c r="S7" i="9"/>
  <c r="Q7" i="14"/>
  <c r="O7" i="14"/>
  <c r="M7" i="9"/>
  <c r="L7" i="14"/>
  <c r="K7" i="9"/>
  <c r="AK6" i="9"/>
  <c r="AI6" i="14"/>
  <c r="AG6" i="9"/>
  <c r="AF6" i="14"/>
  <c r="AE6" i="9"/>
  <c r="AC6" i="9"/>
  <c r="AA6" i="14"/>
  <c r="Y6" i="14"/>
  <c r="W6" i="9"/>
  <c r="V6" i="14"/>
  <c r="U6" i="9"/>
  <c r="S6" i="9"/>
  <c r="Q6" i="14"/>
  <c r="O6" i="14"/>
  <c r="M6" i="9"/>
  <c r="L6" i="14"/>
  <c r="K6" i="9"/>
  <c r="AK5" i="9"/>
  <c r="AI5" i="14"/>
  <c r="AG5" i="9"/>
  <c r="AF5" i="14"/>
  <c r="AE5" i="9"/>
  <c r="AC5" i="9"/>
  <c r="AA5" i="14"/>
  <c r="Y5" i="14"/>
  <c r="W5" i="9"/>
  <c r="V5" i="14"/>
  <c r="U5" i="9"/>
  <c r="S5" i="9"/>
  <c r="Q5" i="14"/>
  <c r="O5" i="14"/>
  <c r="M5" i="9"/>
  <c r="L5" i="14"/>
  <c r="K5" i="9"/>
  <c r="AK4" i="9"/>
  <c r="AI4" i="14"/>
  <c r="AG4" i="9"/>
  <c r="AF4" i="14"/>
  <c r="AE4" i="9"/>
  <c r="AC4" i="9"/>
  <c r="AA4" i="14"/>
  <c r="Y4" i="14"/>
  <c r="W4" i="9"/>
  <c r="V4" i="14"/>
  <c r="U4" i="9"/>
  <c r="S4" i="9"/>
  <c r="Q4" i="14"/>
  <c r="O4" i="14"/>
  <c r="M4" i="9"/>
  <c r="L4" i="14"/>
  <c r="K4" i="9"/>
  <c r="AK3" i="9"/>
  <c r="AI3" i="14"/>
  <c r="AG3" i="9"/>
  <c r="AF3" i="14"/>
  <c r="AE3" i="9"/>
  <c r="AC3" i="9"/>
  <c r="AA3" i="14"/>
  <c r="Y3" i="14"/>
  <c r="W3" i="9"/>
  <c r="V3" i="14"/>
  <c r="U3" i="9"/>
  <c r="S3" i="9"/>
  <c r="Q3" i="14"/>
  <c r="O3" i="14"/>
  <c r="M3" i="9"/>
  <c r="K3" i="9"/>
  <c r="P3" i="72"/>
  <c r="AK19" i="43"/>
  <c r="AL19" i="52" s="1"/>
  <c r="AJ19" i="52"/>
  <c r="AG19" i="43"/>
  <c r="AH19" i="52" s="1"/>
  <c r="AG19" i="52"/>
  <c r="AE19" i="43"/>
  <c r="AF19" i="52" s="1"/>
  <c r="AC19" i="43"/>
  <c r="AD19" i="52" s="1"/>
  <c r="AB19" i="52"/>
  <c r="Z19" i="52"/>
  <c r="W19" i="43"/>
  <c r="X19" i="52" s="1"/>
  <c r="W19" i="52"/>
  <c r="U19" i="43"/>
  <c r="V19" i="52" s="1"/>
  <c r="S19" i="43"/>
  <c r="T19" i="52" s="1"/>
  <c r="R19" i="52"/>
  <c r="P19" i="52"/>
  <c r="M19" i="43"/>
  <c r="N19" i="52" s="1"/>
  <c r="M19" i="52"/>
  <c r="K19" i="43"/>
  <c r="L19" i="52" s="1"/>
  <c r="AK18" i="43"/>
  <c r="AL18" i="52" s="1"/>
  <c r="AJ18" i="52"/>
  <c r="AG18" i="43"/>
  <c r="AH18" i="52" s="1"/>
  <c r="AG18" i="52"/>
  <c r="AE18" i="43"/>
  <c r="AF18" i="52" s="1"/>
  <c r="AC18" i="43"/>
  <c r="AD18" i="52" s="1"/>
  <c r="AB18" i="52"/>
  <c r="Z18" i="52"/>
  <c r="W18" i="43"/>
  <c r="X18" i="52" s="1"/>
  <c r="W18" i="52"/>
  <c r="U18" i="43"/>
  <c r="V18" i="52" s="1"/>
  <c r="S18" i="43"/>
  <c r="T18" i="52" s="1"/>
  <c r="R18" i="52"/>
  <c r="P18" i="52"/>
  <c r="M18" i="43"/>
  <c r="N18" i="52" s="1"/>
  <c r="M18" i="52"/>
  <c r="K18" i="43"/>
  <c r="L18" i="52" s="1"/>
  <c r="AK17" i="43"/>
  <c r="AL17" i="52" s="1"/>
  <c r="AJ17" i="52"/>
  <c r="AG17" i="43"/>
  <c r="AH17" i="52" s="1"/>
  <c r="AG17" i="52"/>
  <c r="AE17" i="43"/>
  <c r="AF17" i="52" s="1"/>
  <c r="AC17" i="43"/>
  <c r="AD17" i="52" s="1"/>
  <c r="AB17" i="52"/>
  <c r="Z17" i="52"/>
  <c r="W17" i="43"/>
  <c r="X17" i="52" s="1"/>
  <c r="W17" i="52"/>
  <c r="U17" i="43"/>
  <c r="V17" i="52" s="1"/>
  <c r="S17" i="43"/>
  <c r="T17" i="52" s="1"/>
  <c r="R17" i="52"/>
  <c r="P17" i="52"/>
  <c r="M17" i="43"/>
  <c r="N17" i="52" s="1"/>
  <c r="M17" i="52"/>
  <c r="K17" i="43"/>
  <c r="L17" i="52" s="1"/>
  <c r="AK16" i="43"/>
  <c r="AL16" i="52" s="1"/>
  <c r="AJ16" i="52"/>
  <c r="AG16" i="43"/>
  <c r="AH16" i="52" s="1"/>
  <c r="AG16" i="52"/>
  <c r="AE16" i="43"/>
  <c r="AF16" i="52" s="1"/>
  <c r="AC16" i="43"/>
  <c r="AD16" i="52" s="1"/>
  <c r="AB16" i="52"/>
  <c r="Z16" i="52"/>
  <c r="W16" i="43"/>
  <c r="X16" i="52" s="1"/>
  <c r="W16" i="52"/>
  <c r="U16" i="43"/>
  <c r="V16" i="52" s="1"/>
  <c r="S16" i="43"/>
  <c r="T16" i="52" s="1"/>
  <c r="R16" i="52"/>
  <c r="P16" i="52"/>
  <c r="M16" i="43"/>
  <c r="N16" i="52" s="1"/>
  <c r="M16" i="52"/>
  <c r="K16" i="43"/>
  <c r="L16" i="52" s="1"/>
  <c r="AK15" i="43"/>
  <c r="AL15" i="52" s="1"/>
  <c r="AJ15" i="52"/>
  <c r="AG15" i="43"/>
  <c r="AH15" i="52" s="1"/>
  <c r="AG15" i="52"/>
  <c r="AE15" i="43"/>
  <c r="AF15" i="52" s="1"/>
  <c r="AC15" i="43"/>
  <c r="AD15" i="52" s="1"/>
  <c r="AB15" i="52"/>
  <c r="Z15" i="52"/>
  <c r="W15" i="43"/>
  <c r="X15" i="52" s="1"/>
  <c r="W15" i="52"/>
  <c r="U15" i="43"/>
  <c r="V15" i="52" s="1"/>
  <c r="S15" i="43"/>
  <c r="T15" i="52" s="1"/>
  <c r="R15" i="52"/>
  <c r="P15" i="52"/>
  <c r="M15" i="43"/>
  <c r="N15" i="52" s="1"/>
  <c r="M15" i="52"/>
  <c r="K15" i="43"/>
  <c r="L15" i="52" s="1"/>
  <c r="AK14" i="43"/>
  <c r="AL14" i="52" s="1"/>
  <c r="AJ14" i="52"/>
  <c r="AG14" i="43"/>
  <c r="AH14" i="52" s="1"/>
  <c r="AG14" i="52"/>
  <c r="AE14" i="43"/>
  <c r="AF14" i="52" s="1"/>
  <c r="AC14" i="43"/>
  <c r="AD14" i="52" s="1"/>
  <c r="AB14" i="52"/>
  <c r="Z14" i="52"/>
  <c r="W14" i="43"/>
  <c r="X14" i="52" s="1"/>
  <c r="W14" i="52"/>
  <c r="U14" i="43"/>
  <c r="V14" i="52" s="1"/>
  <c r="S14" i="43"/>
  <c r="T14" i="52" s="1"/>
  <c r="R14" i="52"/>
  <c r="P14" i="52"/>
  <c r="M14" i="43"/>
  <c r="N14" i="52" s="1"/>
  <c r="M14" i="52"/>
  <c r="K14" i="43"/>
  <c r="L14" i="52" s="1"/>
  <c r="AK13" i="43"/>
  <c r="AL13" i="52" s="1"/>
  <c r="AJ13" i="52"/>
  <c r="AG13" i="43"/>
  <c r="AH13" i="52" s="1"/>
  <c r="AG13" i="52"/>
  <c r="AE13" i="43"/>
  <c r="AF13" i="52" s="1"/>
  <c r="AC13" i="43"/>
  <c r="AD13" i="52" s="1"/>
  <c r="AB13" i="52"/>
  <c r="Z13" i="52"/>
  <c r="W13" i="43"/>
  <c r="X13" i="52" s="1"/>
  <c r="W13" i="52"/>
  <c r="U13" i="43"/>
  <c r="V13" i="52" s="1"/>
  <c r="S13" i="43"/>
  <c r="T13" i="52" s="1"/>
  <c r="R13" i="52"/>
  <c r="P13" i="52"/>
  <c r="M13" i="43"/>
  <c r="N13" i="52" s="1"/>
  <c r="M13" i="52"/>
  <c r="K13" i="43"/>
  <c r="L13" i="52" s="1"/>
  <c r="AK12" i="43"/>
  <c r="AL12" i="52" s="1"/>
  <c r="AJ12" i="52"/>
  <c r="AG12" i="43"/>
  <c r="AH12" i="52" s="1"/>
  <c r="AG12" i="52"/>
  <c r="AE12" i="43"/>
  <c r="AF12" i="52" s="1"/>
  <c r="AC12" i="43"/>
  <c r="AD12" i="52" s="1"/>
  <c r="AB12" i="52"/>
  <c r="Z12" i="52"/>
  <c r="W12" i="43"/>
  <c r="X12" i="52" s="1"/>
  <c r="W12" i="52"/>
  <c r="U12" i="43"/>
  <c r="V12" i="52" s="1"/>
  <c r="S12" i="43"/>
  <c r="T12" i="52" s="1"/>
  <c r="R12" i="52"/>
  <c r="P12" i="52"/>
  <c r="M12" i="43"/>
  <c r="N12" i="52" s="1"/>
  <c r="M12" i="52"/>
  <c r="K12" i="43"/>
  <c r="L12" i="52" s="1"/>
  <c r="AK11" i="43"/>
  <c r="AL11" i="52" s="1"/>
  <c r="AJ11" i="52"/>
  <c r="AG11" i="43"/>
  <c r="AH11" i="52" s="1"/>
  <c r="AG11" i="52"/>
  <c r="AE11" i="43"/>
  <c r="AF11" i="52" s="1"/>
  <c r="AC11" i="43"/>
  <c r="AD11" i="52" s="1"/>
  <c r="AB11" i="52"/>
  <c r="Z11" i="52"/>
  <c r="W11" i="43"/>
  <c r="X11" i="52" s="1"/>
  <c r="W11" i="52"/>
  <c r="U11" i="43"/>
  <c r="V11" i="52" s="1"/>
  <c r="S11" i="43"/>
  <c r="T11" i="52" s="1"/>
  <c r="R11" i="52"/>
  <c r="P11" i="52"/>
  <c r="M11" i="43"/>
  <c r="N11" i="52" s="1"/>
  <c r="M11" i="52"/>
  <c r="K11" i="43"/>
  <c r="L11" i="52" s="1"/>
  <c r="AK10" i="43"/>
  <c r="AL10" i="52" s="1"/>
  <c r="AJ10" i="52"/>
  <c r="AG10" i="43"/>
  <c r="AH10" i="52" s="1"/>
  <c r="AG10" i="52"/>
  <c r="AE10" i="43"/>
  <c r="AF10" i="52" s="1"/>
  <c r="AC10" i="43"/>
  <c r="AD10" i="52" s="1"/>
  <c r="AB10" i="52"/>
  <c r="Z10" i="52"/>
  <c r="W10" i="43"/>
  <c r="X10" i="52" s="1"/>
  <c r="W10" i="52"/>
  <c r="U10" i="43"/>
  <c r="V10" i="52" s="1"/>
  <c r="S10" i="43"/>
  <c r="T10" i="52" s="1"/>
  <c r="R10" i="52"/>
  <c r="P10" i="52"/>
  <c r="M10" i="43"/>
  <c r="N10" i="52" s="1"/>
  <c r="M10" i="52"/>
  <c r="K10" i="43"/>
  <c r="L10" i="52" s="1"/>
  <c r="AK9" i="43"/>
  <c r="AL9" i="52" s="1"/>
  <c r="AJ9" i="52"/>
  <c r="AG9" i="43"/>
  <c r="AH9" i="52" s="1"/>
  <c r="AG9" i="52"/>
  <c r="AE9" i="43"/>
  <c r="AF9" i="52" s="1"/>
  <c r="AC9" i="43"/>
  <c r="AD9" i="52" s="1"/>
  <c r="AB9" i="52"/>
  <c r="Z9" i="52"/>
  <c r="W9" i="43"/>
  <c r="X9" i="52" s="1"/>
  <c r="W9" i="52"/>
  <c r="U9" i="43"/>
  <c r="V9" i="52" s="1"/>
  <c r="S9" i="43"/>
  <c r="T9" i="52" s="1"/>
  <c r="R9" i="52"/>
  <c r="P9" i="52"/>
  <c r="M9" i="43"/>
  <c r="N9" i="52" s="1"/>
  <c r="M9" i="52"/>
  <c r="K9" i="43"/>
  <c r="L9" i="52" s="1"/>
  <c r="AK8" i="43"/>
  <c r="AL8" i="52" s="1"/>
  <c r="AJ8" i="52"/>
  <c r="AG8" i="43"/>
  <c r="AH8" i="52" s="1"/>
  <c r="AG8" i="52"/>
  <c r="AE8" i="43"/>
  <c r="AF8" i="52" s="1"/>
  <c r="AC8" i="43"/>
  <c r="AD8" i="52" s="1"/>
  <c r="AB8" i="52"/>
  <c r="Z8" i="52"/>
  <c r="W8" i="43"/>
  <c r="X8" i="52" s="1"/>
  <c r="W8" i="52"/>
  <c r="U8" i="43"/>
  <c r="V8" i="52" s="1"/>
  <c r="S8" i="43"/>
  <c r="T8" i="52" s="1"/>
  <c r="R8" i="52"/>
  <c r="P8" i="52"/>
  <c r="M8" i="43"/>
  <c r="N8" i="52" s="1"/>
  <c r="M8" i="52"/>
  <c r="K8" i="43"/>
  <c r="L8" i="52" s="1"/>
  <c r="AK7" i="43"/>
  <c r="AL7" i="52" s="1"/>
  <c r="AJ7" i="52"/>
  <c r="AG7" i="43"/>
  <c r="AH7" i="52" s="1"/>
  <c r="AG7" i="52"/>
  <c r="AE7" i="43"/>
  <c r="AF7" i="52" s="1"/>
  <c r="AC7" i="43"/>
  <c r="AD7" i="52" s="1"/>
  <c r="AB7" i="52"/>
  <c r="Z7" i="52"/>
  <c r="W7" i="43"/>
  <c r="X7" i="52" s="1"/>
  <c r="W7" i="52"/>
  <c r="U7" i="43"/>
  <c r="V7" i="52" s="1"/>
  <c r="S7" i="43"/>
  <c r="T7" i="52" s="1"/>
  <c r="R7" i="52"/>
  <c r="P7" i="52"/>
  <c r="M7" i="43"/>
  <c r="N7" i="52" s="1"/>
  <c r="M7" i="52"/>
  <c r="K7" i="43"/>
  <c r="L7" i="52" s="1"/>
  <c r="AK6" i="43"/>
  <c r="AL6" i="52" s="1"/>
  <c r="AJ6" i="52"/>
  <c r="AG6" i="43"/>
  <c r="AH6" i="52" s="1"/>
  <c r="AG6" i="52"/>
  <c r="AE6" i="43"/>
  <c r="AF6" i="52" s="1"/>
  <c r="AC6" i="43"/>
  <c r="AD6" i="52" s="1"/>
  <c r="AB6" i="52"/>
  <c r="Z6" i="52"/>
  <c r="W6" i="43"/>
  <c r="X6" i="52" s="1"/>
  <c r="W6" i="52"/>
  <c r="U6" i="43"/>
  <c r="V6" i="52" s="1"/>
  <c r="S6" i="43"/>
  <c r="T6" i="52" s="1"/>
  <c r="R6" i="52"/>
  <c r="P6" i="52"/>
  <c r="M6" i="43"/>
  <c r="N6" i="52" s="1"/>
  <c r="M6" i="52"/>
  <c r="K6" i="43"/>
  <c r="L6" i="52" s="1"/>
  <c r="AK5" i="43"/>
  <c r="AL5" i="52" s="1"/>
  <c r="AJ5" i="52"/>
  <c r="AG5" i="43"/>
  <c r="AH5" i="52" s="1"/>
  <c r="AG5" i="52"/>
  <c r="AE5" i="43"/>
  <c r="AF5" i="52" s="1"/>
  <c r="AC5" i="43"/>
  <c r="AD5" i="52" s="1"/>
  <c r="AB5" i="52"/>
  <c r="Z5" i="52"/>
  <c r="W5" i="43"/>
  <c r="X5" i="52" s="1"/>
  <c r="W5" i="52"/>
  <c r="U5" i="43"/>
  <c r="V5" i="52" s="1"/>
  <c r="S5" i="43"/>
  <c r="T5" i="52" s="1"/>
  <c r="R5" i="52"/>
  <c r="P5" i="52"/>
  <c r="M5" i="43"/>
  <c r="N5" i="52" s="1"/>
  <c r="M5" i="52"/>
  <c r="K5" i="43"/>
  <c r="L5" i="52" s="1"/>
  <c r="AK4" i="43"/>
  <c r="AL4" i="52" s="1"/>
  <c r="AJ4" i="52"/>
  <c r="AG4" i="43"/>
  <c r="AH4" i="52" s="1"/>
  <c r="AG4" i="52"/>
  <c r="AE4" i="43"/>
  <c r="AF4" i="52" s="1"/>
  <c r="AC4" i="43"/>
  <c r="AD4" i="52" s="1"/>
  <c r="AB4" i="52"/>
  <c r="Z4" i="52"/>
  <c r="W4" i="43"/>
  <c r="X4" i="52" s="1"/>
  <c r="W4" i="52"/>
  <c r="U4" i="43"/>
  <c r="V4" i="52" s="1"/>
  <c r="S4" i="43"/>
  <c r="T4" i="52" s="1"/>
  <c r="R4" i="52"/>
  <c r="P4" i="52"/>
  <c r="M4" i="43"/>
  <c r="N4" i="52" s="1"/>
  <c r="M4" i="52"/>
  <c r="K4" i="43"/>
  <c r="L4" i="52" s="1"/>
  <c r="AK3" i="43"/>
  <c r="AL3" i="52" s="1"/>
  <c r="AG3" i="43"/>
  <c r="AE3" i="43"/>
  <c r="AC3" i="43"/>
  <c r="W3" i="43"/>
  <c r="U3" i="43"/>
  <c r="S3" i="43"/>
  <c r="M3" i="43"/>
  <c r="K3" i="43"/>
  <c r="K19" i="52"/>
  <c r="K18" i="52"/>
  <c r="K17" i="52"/>
  <c r="K16" i="52"/>
  <c r="K15" i="52"/>
  <c r="K14" i="52"/>
  <c r="K13" i="52"/>
  <c r="K12" i="52"/>
  <c r="K11" i="52"/>
  <c r="K10" i="52"/>
  <c r="K9" i="52"/>
  <c r="K8" i="52"/>
  <c r="K7" i="52"/>
  <c r="K6" i="52"/>
  <c r="K5" i="52"/>
  <c r="K4" i="52"/>
  <c r="D17" i="43"/>
  <c r="B17" i="43"/>
  <c r="I19" i="52"/>
  <c r="I18" i="52"/>
  <c r="I17" i="52"/>
  <c r="I16" i="52"/>
  <c r="I15" i="52"/>
  <c r="I14" i="52"/>
  <c r="I13" i="52"/>
  <c r="I12" i="52"/>
  <c r="I11" i="52"/>
  <c r="I10" i="52"/>
  <c r="I9" i="52"/>
  <c r="I8" i="52"/>
  <c r="I7" i="52"/>
  <c r="I6" i="52"/>
  <c r="I5" i="52"/>
  <c r="I4" i="52"/>
  <c r="AK19" i="42"/>
  <c r="AG19" i="42"/>
  <c r="AE19" i="42"/>
  <c r="AC19" i="42"/>
  <c r="W19" i="42"/>
  <c r="U19" i="42"/>
  <c r="S19" i="42"/>
  <c r="M19" i="42"/>
  <c r="K19" i="42"/>
  <c r="AK18" i="42"/>
  <c r="AG18" i="42"/>
  <c r="AE18" i="42"/>
  <c r="AC18" i="42"/>
  <c r="W18" i="42"/>
  <c r="U18" i="42"/>
  <c r="S18" i="42"/>
  <c r="M18" i="42"/>
  <c r="K18" i="42"/>
  <c r="AK17" i="42"/>
  <c r="AG17" i="42"/>
  <c r="AE17" i="42"/>
  <c r="AC17" i="42"/>
  <c r="W17" i="42"/>
  <c r="U17" i="42"/>
  <c r="S17" i="42"/>
  <c r="M17" i="42"/>
  <c r="K17" i="42"/>
  <c r="AK16" i="42"/>
  <c r="AG16" i="42"/>
  <c r="AE16" i="42"/>
  <c r="AC16" i="42"/>
  <c r="W16" i="42"/>
  <c r="U16" i="42"/>
  <c r="S16" i="42"/>
  <c r="M16" i="42"/>
  <c r="K16" i="42"/>
  <c r="AK15" i="42"/>
  <c r="AG15" i="42"/>
  <c r="AE15" i="42"/>
  <c r="AC15" i="42"/>
  <c r="W15" i="42"/>
  <c r="U15" i="42"/>
  <c r="S15" i="42"/>
  <c r="M15" i="42"/>
  <c r="K15" i="42"/>
  <c r="AK14" i="42"/>
  <c r="AG14" i="42"/>
  <c r="AE14" i="42"/>
  <c r="AC14" i="42"/>
  <c r="W14" i="42"/>
  <c r="U14" i="42"/>
  <c r="S14" i="42"/>
  <c r="M14" i="42"/>
  <c r="K14" i="42"/>
  <c r="AK13" i="42"/>
  <c r="AG13" i="42"/>
  <c r="AE13" i="42"/>
  <c r="AC13" i="42"/>
  <c r="W13" i="42"/>
  <c r="U13" i="42"/>
  <c r="S13" i="42"/>
  <c r="M13" i="42"/>
  <c r="K13" i="42"/>
  <c r="AK12" i="42"/>
  <c r="AG12" i="42"/>
  <c r="AE12" i="42"/>
  <c r="AC12" i="42"/>
  <c r="W12" i="42"/>
  <c r="U12" i="42"/>
  <c r="S12" i="42"/>
  <c r="M12" i="42"/>
  <c r="K12" i="42"/>
  <c r="AK11" i="42"/>
  <c r="AG11" i="42"/>
  <c r="AE11" i="42"/>
  <c r="AC11" i="42"/>
  <c r="W11" i="42"/>
  <c r="U11" i="42"/>
  <c r="S11" i="42"/>
  <c r="M11" i="42"/>
  <c r="K11" i="42"/>
  <c r="AK10" i="42"/>
  <c r="AG10" i="42"/>
  <c r="AE10" i="42"/>
  <c r="AC10" i="42"/>
  <c r="W10" i="42"/>
  <c r="U10" i="42"/>
  <c r="S10" i="42"/>
  <c r="M10" i="42"/>
  <c r="K10" i="42"/>
  <c r="AK9" i="42"/>
  <c r="AG9" i="42"/>
  <c r="AE9" i="42"/>
  <c r="AC9" i="42"/>
  <c r="W9" i="42"/>
  <c r="U9" i="42"/>
  <c r="S9" i="42"/>
  <c r="M9" i="42"/>
  <c r="K9" i="42"/>
  <c r="AK8" i="42"/>
  <c r="AG8" i="42"/>
  <c r="AE8" i="42"/>
  <c r="AC8" i="42"/>
  <c r="W8" i="42"/>
  <c r="U8" i="42"/>
  <c r="S8" i="42"/>
  <c r="M8" i="42"/>
  <c r="K8" i="42"/>
  <c r="AK7" i="42"/>
  <c r="AG7" i="42"/>
  <c r="AE7" i="42"/>
  <c r="AC7" i="42"/>
  <c r="W7" i="42"/>
  <c r="U7" i="42"/>
  <c r="S7" i="42"/>
  <c r="M7" i="42"/>
  <c r="K7" i="42"/>
  <c r="AK6" i="42"/>
  <c r="AG6" i="42"/>
  <c r="AE6" i="42"/>
  <c r="AC6" i="42"/>
  <c r="W6" i="42"/>
  <c r="U6" i="42"/>
  <c r="S6" i="42"/>
  <c r="M6" i="42"/>
  <c r="K6" i="42"/>
  <c r="AK5" i="42"/>
  <c r="AG5" i="42"/>
  <c r="AE5" i="42"/>
  <c r="AC5" i="42"/>
  <c r="W5" i="42"/>
  <c r="U5" i="42"/>
  <c r="S5" i="42"/>
  <c r="M5" i="42"/>
  <c r="K5" i="42"/>
  <c r="AK4" i="42"/>
  <c r="AG4" i="42"/>
  <c r="AE4" i="42"/>
  <c r="AC4" i="42"/>
  <c r="W4" i="42"/>
  <c r="U4" i="42"/>
  <c r="S4" i="42"/>
  <c r="M4" i="42"/>
  <c r="K4" i="42"/>
  <c r="AK3" i="42"/>
  <c r="AG3" i="42"/>
  <c r="AE3" i="42"/>
  <c r="AC3" i="42"/>
  <c r="W3" i="42"/>
  <c r="U3" i="42"/>
  <c r="S3" i="42"/>
  <c r="M3" i="42"/>
  <c r="K3" i="42"/>
  <c r="AK19" i="44"/>
  <c r="AK18" i="44"/>
  <c r="AK17" i="44"/>
  <c r="AK16" i="44"/>
  <c r="AK15" i="44"/>
  <c r="AK14" i="44"/>
  <c r="AK13" i="44"/>
  <c r="AK12" i="44"/>
  <c r="AK11" i="44"/>
  <c r="AK10" i="44"/>
  <c r="AK9" i="44"/>
  <c r="AK8" i="44"/>
  <c r="AK7" i="44"/>
  <c r="AK6" i="44"/>
  <c r="AK5" i="44"/>
  <c r="AK4" i="44"/>
  <c r="AK3" i="44"/>
  <c r="AG19" i="44"/>
  <c r="AG18" i="44"/>
  <c r="AG17" i="44"/>
  <c r="AG16" i="44"/>
  <c r="AG15" i="44"/>
  <c r="AG14" i="44"/>
  <c r="AG13" i="44"/>
  <c r="AG12" i="44"/>
  <c r="AG11" i="44"/>
  <c r="AG10" i="44"/>
  <c r="AG9" i="44"/>
  <c r="AG8" i="44"/>
  <c r="AG7" i="44"/>
  <c r="AG6" i="44"/>
  <c r="AG5" i="44"/>
  <c r="AG4" i="44"/>
  <c r="AG3" i="44"/>
  <c r="AE19" i="44"/>
  <c r="AE18" i="44"/>
  <c r="AE17" i="44"/>
  <c r="AE16" i="44"/>
  <c r="AE15" i="44"/>
  <c r="AE14" i="44"/>
  <c r="AE13" i="44"/>
  <c r="AE12" i="44"/>
  <c r="AE11" i="44"/>
  <c r="AE10" i="44"/>
  <c r="AE9" i="44"/>
  <c r="AE8" i="44"/>
  <c r="AE7" i="44"/>
  <c r="AE6" i="44"/>
  <c r="AE5" i="44"/>
  <c r="AE4" i="44"/>
  <c r="AE3" i="44"/>
  <c r="AC19" i="44"/>
  <c r="AC18" i="44"/>
  <c r="AC17" i="44"/>
  <c r="AC16" i="44"/>
  <c r="AC15" i="44"/>
  <c r="AC14" i="44"/>
  <c r="AC13" i="44"/>
  <c r="AC12" i="44"/>
  <c r="AC11" i="44"/>
  <c r="AC10" i="44"/>
  <c r="AC9" i="44"/>
  <c r="AC8" i="44"/>
  <c r="AC7" i="44"/>
  <c r="AC6" i="44"/>
  <c r="AC5" i="44"/>
  <c r="AC4" i="44"/>
  <c r="AC3" i="44"/>
  <c r="W19" i="44"/>
  <c r="W18" i="44"/>
  <c r="W17" i="44"/>
  <c r="W16" i="44"/>
  <c r="W15" i="44"/>
  <c r="W14" i="44"/>
  <c r="W13" i="44"/>
  <c r="W12" i="44"/>
  <c r="W11" i="44"/>
  <c r="W10" i="44"/>
  <c r="W9" i="44"/>
  <c r="W8" i="44"/>
  <c r="W7" i="44"/>
  <c r="W6" i="44"/>
  <c r="W5" i="44"/>
  <c r="W4" i="44"/>
  <c r="W3" i="44"/>
  <c r="U19" i="44"/>
  <c r="U18" i="44"/>
  <c r="U17" i="44"/>
  <c r="U16" i="44"/>
  <c r="U15" i="44"/>
  <c r="U14" i="44"/>
  <c r="U13" i="44"/>
  <c r="U12" i="44"/>
  <c r="U11" i="44"/>
  <c r="U10" i="44"/>
  <c r="U9" i="44"/>
  <c r="U8" i="44"/>
  <c r="U7" i="44"/>
  <c r="U6" i="44"/>
  <c r="U5" i="44"/>
  <c r="U4" i="44"/>
  <c r="U3" i="44"/>
  <c r="S19" i="44"/>
  <c r="S18" i="44"/>
  <c r="S17" i="44"/>
  <c r="S16" i="44"/>
  <c r="S15" i="44"/>
  <c r="S14" i="44"/>
  <c r="S13" i="44"/>
  <c r="S12" i="44"/>
  <c r="S11" i="44"/>
  <c r="S10" i="44"/>
  <c r="S9" i="44"/>
  <c r="S8" i="44"/>
  <c r="S7" i="44"/>
  <c r="S6" i="44"/>
  <c r="S5" i="44"/>
  <c r="S4" i="44"/>
  <c r="S3" i="44"/>
  <c r="M4" i="44"/>
  <c r="M5" i="44"/>
  <c r="M6" i="44"/>
  <c r="M7" i="44"/>
  <c r="M8" i="44"/>
  <c r="M9" i="44"/>
  <c r="M10" i="44"/>
  <c r="M11" i="44"/>
  <c r="M12" i="44"/>
  <c r="M13" i="44"/>
  <c r="M14" i="44"/>
  <c r="M15" i="44"/>
  <c r="M16" i="44"/>
  <c r="M17" i="44"/>
  <c r="M18" i="44"/>
  <c r="M19" i="44"/>
  <c r="M3" i="44"/>
  <c r="K19" i="44"/>
  <c r="K18" i="44"/>
  <c r="K17" i="44"/>
  <c r="K16" i="44"/>
  <c r="K15" i="44"/>
  <c r="K14" i="44"/>
  <c r="K13" i="44"/>
  <c r="K12" i="44"/>
  <c r="K11" i="44"/>
  <c r="K10" i="44"/>
  <c r="K9" i="44"/>
  <c r="K8" i="44"/>
  <c r="K7" i="44"/>
  <c r="K6" i="44"/>
  <c r="K5" i="44"/>
  <c r="K4" i="44"/>
  <c r="K3" i="44"/>
  <c r="T3" i="72" l="1"/>
  <c r="W3" i="72" s="1"/>
  <c r="AK4" i="14"/>
  <c r="AK5" i="14"/>
  <c r="AK6" i="14"/>
  <c r="AK8" i="14"/>
  <c r="AK9" i="14"/>
  <c r="AK10" i="14"/>
  <c r="AK7" i="14"/>
  <c r="AK11" i="14"/>
  <c r="AK12" i="14"/>
  <c r="AK13" i="14"/>
  <c r="AK14" i="14"/>
  <c r="AK15" i="14"/>
  <c r="AK16" i="14"/>
  <c r="AK17" i="14"/>
  <c r="AK18" i="14"/>
  <c r="AK3" i="14"/>
  <c r="AK19" i="14"/>
  <c r="W16" i="14"/>
  <c r="BP16" i="72"/>
  <c r="BS16" i="72" s="1"/>
  <c r="M7" i="14"/>
  <c r="AB7" i="72"/>
  <c r="AE7" i="72" s="1"/>
  <c r="W17" i="14"/>
  <c r="BP17" i="72"/>
  <c r="BS17" i="72" s="1"/>
  <c r="M5" i="14"/>
  <c r="AB5" i="72"/>
  <c r="AE5" i="72" s="1"/>
  <c r="K7" i="14"/>
  <c r="T7" i="72"/>
  <c r="W7" i="72" s="1"/>
  <c r="DT7" i="72"/>
  <c r="DW7" i="72" s="1"/>
  <c r="AG9" i="14"/>
  <c r="DD9" i="72"/>
  <c r="DG9" i="72" s="1"/>
  <c r="AE11" i="14"/>
  <c r="CV11" i="72"/>
  <c r="CY11" i="72" s="1"/>
  <c r="AC12" i="14"/>
  <c r="CN12" i="72"/>
  <c r="CQ12" i="72" s="1"/>
  <c r="W15" i="14"/>
  <c r="BP15" i="72"/>
  <c r="BS15" i="72" s="1"/>
  <c r="U17" i="14"/>
  <c r="BH17" i="72"/>
  <c r="BK17" i="72" s="1"/>
  <c r="S18" i="14"/>
  <c r="AZ18" i="72"/>
  <c r="BC18" i="72" s="1"/>
  <c r="DT8" i="72"/>
  <c r="DW8" i="72" s="1"/>
  <c r="W3" i="14"/>
  <c r="BP3" i="72"/>
  <c r="U5" i="14"/>
  <c r="BH5" i="72"/>
  <c r="BK5" i="72" s="1"/>
  <c r="S6" i="14"/>
  <c r="AZ6" i="72"/>
  <c r="BC6" i="72" s="1"/>
  <c r="M9" i="14"/>
  <c r="AB9" i="72"/>
  <c r="AE9" i="72" s="1"/>
  <c r="K11" i="14"/>
  <c r="T11" i="72"/>
  <c r="W11" i="72" s="1"/>
  <c r="DT11" i="72"/>
  <c r="DW11" i="72" s="1"/>
  <c r="AG13" i="14"/>
  <c r="DD13" i="72"/>
  <c r="DG13" i="72" s="1"/>
  <c r="AE15" i="14"/>
  <c r="CV15" i="72"/>
  <c r="CY15" i="72" s="1"/>
  <c r="AC16" i="14"/>
  <c r="CN16" i="72"/>
  <c r="CQ16" i="72" s="1"/>
  <c r="W19" i="14"/>
  <c r="BP19" i="72"/>
  <c r="BS19" i="72" s="1"/>
  <c r="U3" i="14"/>
  <c r="BH3" i="72"/>
  <c r="DT9" i="72"/>
  <c r="DW9" i="72" s="1"/>
  <c r="U4" i="14"/>
  <c r="BH4" i="72"/>
  <c r="BK4" i="72" s="1"/>
  <c r="K10" i="14"/>
  <c r="T10" i="72"/>
  <c r="W10" i="72" s="1"/>
  <c r="W4" i="14"/>
  <c r="BP4" i="72"/>
  <c r="BS4" i="72" s="1"/>
  <c r="U6" i="14"/>
  <c r="BH6" i="72"/>
  <c r="BK6" i="72" s="1"/>
  <c r="S7" i="14"/>
  <c r="AZ7" i="72"/>
  <c r="BC7" i="72" s="1"/>
  <c r="M10" i="14"/>
  <c r="AB10" i="72"/>
  <c r="AE10" i="72" s="1"/>
  <c r="K12" i="14"/>
  <c r="T12" i="72"/>
  <c r="W12" i="72" s="1"/>
  <c r="DT12" i="72"/>
  <c r="DW12" i="72" s="1"/>
  <c r="AG14" i="14"/>
  <c r="DD14" i="72"/>
  <c r="DG14" i="72" s="1"/>
  <c r="AE16" i="14"/>
  <c r="CV16" i="72"/>
  <c r="CY16" i="72" s="1"/>
  <c r="AC17" i="14"/>
  <c r="CN17" i="72"/>
  <c r="CQ17" i="72" s="1"/>
  <c r="K8" i="14"/>
  <c r="T8" i="72"/>
  <c r="W8" i="72" s="1"/>
  <c r="AC14" i="14"/>
  <c r="CN14" i="72"/>
  <c r="CQ14" i="72" s="1"/>
  <c r="S5" i="14"/>
  <c r="AZ5" i="72"/>
  <c r="BC5" i="72" s="1"/>
  <c r="M8" i="14"/>
  <c r="AB8" i="72"/>
  <c r="AE8" i="72" s="1"/>
  <c r="S3" i="72"/>
  <c r="W5" i="14"/>
  <c r="BP5" i="72"/>
  <c r="BS5" i="72" s="1"/>
  <c r="U7" i="14"/>
  <c r="BH7" i="72"/>
  <c r="BK7" i="72" s="1"/>
  <c r="S8" i="14"/>
  <c r="AZ8" i="72"/>
  <c r="BC8" i="72" s="1"/>
  <c r="M11" i="14"/>
  <c r="AB11" i="72"/>
  <c r="AE11" i="72" s="1"/>
  <c r="K13" i="14"/>
  <c r="T13" i="72"/>
  <c r="W13" i="72" s="1"/>
  <c r="DT13" i="72"/>
  <c r="DW13" i="72" s="1"/>
  <c r="AG15" i="14"/>
  <c r="DD15" i="72"/>
  <c r="DG15" i="72" s="1"/>
  <c r="AE17" i="14"/>
  <c r="CV17" i="72"/>
  <c r="CY17" i="72" s="1"/>
  <c r="AC18" i="14"/>
  <c r="CN18" i="72"/>
  <c r="CQ18" i="72" s="1"/>
  <c r="AE12" i="14"/>
  <c r="CV12" i="72"/>
  <c r="CY12" i="72" s="1"/>
  <c r="J5" i="14"/>
  <c r="P5" i="72"/>
  <c r="S5" i="72" s="1"/>
  <c r="AC3" i="14"/>
  <c r="CN3" i="72"/>
  <c r="W6" i="14"/>
  <c r="BP6" i="72"/>
  <c r="BS6" i="72" s="1"/>
  <c r="U8" i="14"/>
  <c r="BH8" i="72"/>
  <c r="BK8" i="72" s="1"/>
  <c r="S9" i="14"/>
  <c r="AZ9" i="72"/>
  <c r="BC9" i="72" s="1"/>
  <c r="M12" i="14"/>
  <c r="AB12" i="72"/>
  <c r="AE12" i="72" s="1"/>
  <c r="K14" i="14"/>
  <c r="T14" i="72"/>
  <c r="W14" i="72" s="1"/>
  <c r="DT14" i="72"/>
  <c r="DW14" i="72" s="1"/>
  <c r="AG16" i="14"/>
  <c r="DD16" i="72"/>
  <c r="DG16" i="72" s="1"/>
  <c r="AE18" i="14"/>
  <c r="CV18" i="72"/>
  <c r="CY18" i="72" s="1"/>
  <c r="AC19" i="14"/>
  <c r="CN19" i="72"/>
  <c r="CQ19" i="72" s="1"/>
  <c r="K9" i="14"/>
  <c r="T9" i="72"/>
  <c r="W9" i="72" s="1"/>
  <c r="J6" i="14"/>
  <c r="P6" i="72"/>
  <c r="S6" i="72" s="1"/>
  <c r="AE3" i="14"/>
  <c r="CV3" i="72"/>
  <c r="AC4" i="14"/>
  <c r="CN4" i="72"/>
  <c r="CQ4" i="72" s="1"/>
  <c r="W7" i="14"/>
  <c r="BP7" i="72"/>
  <c r="BS7" i="72" s="1"/>
  <c r="U9" i="14"/>
  <c r="BH9" i="72"/>
  <c r="BK9" i="72" s="1"/>
  <c r="S10" i="14"/>
  <c r="AZ10" i="72"/>
  <c r="BC10" i="72" s="1"/>
  <c r="M13" i="14"/>
  <c r="AB13" i="72"/>
  <c r="AE13" i="72" s="1"/>
  <c r="K15" i="14"/>
  <c r="T15" i="72"/>
  <c r="W15" i="72" s="1"/>
  <c r="DT15" i="72"/>
  <c r="DW15" i="72" s="1"/>
  <c r="AG17" i="14"/>
  <c r="DD17" i="72"/>
  <c r="DG17" i="72" s="1"/>
  <c r="AE19" i="14"/>
  <c r="CV19" i="72"/>
  <c r="CY19" i="72" s="1"/>
  <c r="S3" i="14"/>
  <c r="AZ3" i="72"/>
  <c r="AG10" i="14"/>
  <c r="DD10" i="72"/>
  <c r="DG10" i="72" s="1"/>
  <c r="AE14" i="14"/>
  <c r="CV14" i="72"/>
  <c r="CY14" i="72" s="1"/>
  <c r="J7" i="14"/>
  <c r="P7" i="72"/>
  <c r="S7" i="72" s="1"/>
  <c r="AE4" i="14"/>
  <c r="CV4" i="72"/>
  <c r="CY4" i="72" s="1"/>
  <c r="AC5" i="14"/>
  <c r="CN5" i="72"/>
  <c r="CQ5" i="72" s="1"/>
  <c r="W8" i="14"/>
  <c r="BP8" i="72"/>
  <c r="BS8" i="72" s="1"/>
  <c r="U10" i="14"/>
  <c r="BH10" i="72"/>
  <c r="BK10" i="72" s="1"/>
  <c r="S11" i="14"/>
  <c r="AZ11" i="72"/>
  <c r="BC11" i="72" s="1"/>
  <c r="M14" i="14"/>
  <c r="AB14" i="72"/>
  <c r="AE14" i="72" s="1"/>
  <c r="K16" i="14"/>
  <c r="T16" i="72"/>
  <c r="W16" i="72" s="1"/>
  <c r="DT16" i="72"/>
  <c r="DW16" i="72" s="1"/>
  <c r="AG18" i="14"/>
  <c r="DD18" i="72"/>
  <c r="DG18" i="72" s="1"/>
  <c r="AC13" i="14"/>
  <c r="CN13" i="72"/>
  <c r="CQ13" i="72" s="1"/>
  <c r="AE13" i="14"/>
  <c r="CV13" i="72"/>
  <c r="CY13" i="72" s="1"/>
  <c r="DT10" i="72"/>
  <c r="DW10" i="72" s="1"/>
  <c r="J9" i="14"/>
  <c r="P9" i="72"/>
  <c r="S9" i="72" s="1"/>
  <c r="AG3" i="14"/>
  <c r="DD3" i="72"/>
  <c r="AE5" i="14"/>
  <c r="CV5" i="72"/>
  <c r="CY5" i="72" s="1"/>
  <c r="AC6" i="14"/>
  <c r="CN6" i="72"/>
  <c r="CQ6" i="72" s="1"/>
  <c r="W9" i="14"/>
  <c r="BP9" i="72"/>
  <c r="BS9" i="72" s="1"/>
  <c r="U11" i="14"/>
  <c r="BH11" i="72"/>
  <c r="BK11" i="72" s="1"/>
  <c r="S12" i="14"/>
  <c r="AZ12" i="72"/>
  <c r="BC12" i="72" s="1"/>
  <c r="M15" i="14"/>
  <c r="AB15" i="72"/>
  <c r="AE15" i="72" s="1"/>
  <c r="K17" i="14"/>
  <c r="T17" i="72"/>
  <c r="W17" i="72" s="1"/>
  <c r="DT17" i="72"/>
  <c r="DW17" i="72" s="1"/>
  <c r="AG19" i="14"/>
  <c r="DD19" i="72"/>
  <c r="DG19" i="72" s="1"/>
  <c r="S19" i="14"/>
  <c r="AZ19" i="72"/>
  <c r="BC19" i="72" s="1"/>
  <c r="AG12" i="14"/>
  <c r="DD12" i="72"/>
  <c r="DG12" i="72" s="1"/>
  <c r="J12" i="14"/>
  <c r="P12" i="72"/>
  <c r="S12" i="72" s="1"/>
  <c r="AG4" i="14"/>
  <c r="DD4" i="72"/>
  <c r="DG4" i="72" s="1"/>
  <c r="AE6" i="14"/>
  <c r="CV6" i="72"/>
  <c r="CY6" i="72" s="1"/>
  <c r="AC7" i="14"/>
  <c r="CN7" i="72"/>
  <c r="CQ7" i="72" s="1"/>
  <c r="W10" i="14"/>
  <c r="BP10" i="72"/>
  <c r="BS10" i="72" s="1"/>
  <c r="U12" i="14"/>
  <c r="BH12" i="72"/>
  <c r="BK12" i="72" s="1"/>
  <c r="S13" i="14"/>
  <c r="AZ13" i="72"/>
  <c r="BC13" i="72" s="1"/>
  <c r="M16" i="14"/>
  <c r="AB16" i="72"/>
  <c r="AE16" i="72" s="1"/>
  <c r="K18" i="14"/>
  <c r="T18" i="72"/>
  <c r="W18" i="72" s="1"/>
  <c r="DT18" i="72"/>
  <c r="DW18" i="72" s="1"/>
  <c r="S4" i="14"/>
  <c r="AZ4" i="72"/>
  <c r="BC4" i="72" s="1"/>
  <c r="AG11" i="14"/>
  <c r="DD11" i="72"/>
  <c r="DG11" i="72" s="1"/>
  <c r="J15" i="14"/>
  <c r="P15" i="72"/>
  <c r="S15" i="72" s="1"/>
  <c r="DT3" i="72"/>
  <c r="AG5" i="14"/>
  <c r="DD5" i="72"/>
  <c r="DG5" i="72" s="1"/>
  <c r="AE7" i="14"/>
  <c r="CV7" i="72"/>
  <c r="CY7" i="72" s="1"/>
  <c r="AC8" i="14"/>
  <c r="CN8" i="72"/>
  <c r="CQ8" i="72" s="1"/>
  <c r="W11" i="14"/>
  <c r="BP11" i="72"/>
  <c r="BS11" i="72" s="1"/>
  <c r="U13" i="14"/>
  <c r="BH13" i="72"/>
  <c r="BK13" i="72" s="1"/>
  <c r="S14" i="14"/>
  <c r="AZ14" i="72"/>
  <c r="BC14" i="72" s="1"/>
  <c r="M17" i="14"/>
  <c r="AB17" i="72"/>
  <c r="AE17" i="72" s="1"/>
  <c r="K19" i="14"/>
  <c r="T19" i="72"/>
  <c r="W19" i="72" s="1"/>
  <c r="DT19" i="72"/>
  <c r="DW19" i="72" s="1"/>
  <c r="AC15" i="14"/>
  <c r="CN15" i="72"/>
  <c r="CQ15" i="72" s="1"/>
  <c r="K4" i="14"/>
  <c r="T4" i="72"/>
  <c r="W4" i="72" s="1"/>
  <c r="DT4" i="72"/>
  <c r="DW4" i="72" s="1"/>
  <c r="AG6" i="14"/>
  <c r="DD6" i="72"/>
  <c r="DG6" i="72" s="1"/>
  <c r="AE8" i="14"/>
  <c r="CV8" i="72"/>
  <c r="CY8" i="72" s="1"/>
  <c r="AC9" i="14"/>
  <c r="CN9" i="72"/>
  <c r="CQ9" i="72" s="1"/>
  <c r="W12" i="14"/>
  <c r="BP12" i="72"/>
  <c r="BS12" i="72" s="1"/>
  <c r="U14" i="14"/>
  <c r="BH14" i="72"/>
  <c r="BK14" i="72" s="1"/>
  <c r="S15" i="14"/>
  <c r="AZ15" i="72"/>
  <c r="BC15" i="72" s="1"/>
  <c r="M18" i="14"/>
  <c r="AB18" i="72"/>
  <c r="AE18" i="72" s="1"/>
  <c r="M6" i="14"/>
  <c r="AB6" i="72"/>
  <c r="AE6" i="72" s="1"/>
  <c r="U18" i="14"/>
  <c r="BH18" i="72"/>
  <c r="BK18" i="72" s="1"/>
  <c r="U19" i="14"/>
  <c r="BH19" i="72"/>
  <c r="BK19" i="72" s="1"/>
  <c r="W18" i="14"/>
  <c r="BP18" i="72"/>
  <c r="BS18" i="72" s="1"/>
  <c r="M3" i="14"/>
  <c r="AB3" i="72"/>
  <c r="K5" i="14"/>
  <c r="T5" i="72"/>
  <c r="W5" i="72" s="1"/>
  <c r="DT5" i="72"/>
  <c r="DW5" i="72" s="1"/>
  <c r="AG7" i="14"/>
  <c r="DD7" i="72"/>
  <c r="DG7" i="72" s="1"/>
  <c r="AE9" i="14"/>
  <c r="CV9" i="72"/>
  <c r="CY9" i="72" s="1"/>
  <c r="AC10" i="14"/>
  <c r="CN10" i="72"/>
  <c r="CQ10" i="72" s="1"/>
  <c r="W13" i="14"/>
  <c r="BP13" i="72"/>
  <c r="BS13" i="72" s="1"/>
  <c r="U15" i="14"/>
  <c r="BH15" i="72"/>
  <c r="BK15" i="72" s="1"/>
  <c r="S16" i="14"/>
  <c r="AZ16" i="72"/>
  <c r="BC16" i="72" s="1"/>
  <c r="M19" i="14"/>
  <c r="AB19" i="72"/>
  <c r="AE19" i="72" s="1"/>
  <c r="M4" i="14"/>
  <c r="AB4" i="72"/>
  <c r="AE4" i="72" s="1"/>
  <c r="K6" i="14"/>
  <c r="T6" i="72"/>
  <c r="W6" i="72" s="1"/>
  <c r="DT6" i="72"/>
  <c r="DW6" i="72" s="1"/>
  <c r="AG8" i="14"/>
  <c r="DD8" i="72"/>
  <c r="DG8" i="72" s="1"/>
  <c r="AE10" i="14"/>
  <c r="CV10" i="72"/>
  <c r="CY10" i="72" s="1"/>
  <c r="AC11" i="14"/>
  <c r="CN11" i="72"/>
  <c r="CQ11" i="72" s="1"/>
  <c r="W14" i="14"/>
  <c r="BP14" i="72"/>
  <c r="BS14" i="72" s="1"/>
  <c r="U16" i="14"/>
  <c r="BH16" i="72"/>
  <c r="BK16" i="72" s="1"/>
  <c r="S17" i="14"/>
  <c r="AZ17" i="72"/>
  <c r="BC17" i="72" s="1"/>
  <c r="M22" i="43"/>
  <c r="AA22" i="44"/>
  <c r="AA22" i="43"/>
  <c r="M22" i="44"/>
  <c r="O22" i="44"/>
  <c r="AC22" i="44"/>
  <c r="S22" i="44"/>
  <c r="AF22" i="44"/>
  <c r="AE22" i="44"/>
  <c r="U22" i="44"/>
  <c r="AG22" i="44"/>
  <c r="K22" i="44"/>
  <c r="V22" i="44"/>
  <c r="AI22" i="44"/>
  <c r="Q22" i="44"/>
  <c r="W22" i="44"/>
  <c r="AK22" i="44"/>
  <c r="L22" i="44"/>
  <c r="Y22" i="44"/>
  <c r="K22" i="42"/>
  <c r="W22" i="42"/>
  <c r="AK22" i="42"/>
  <c r="O22" i="43"/>
  <c r="AC22" i="43"/>
  <c r="Q22" i="43"/>
  <c r="AE22" i="43"/>
  <c r="S22" i="43"/>
  <c r="AF22" i="43"/>
  <c r="U22" i="43"/>
  <c r="AG22" i="43"/>
  <c r="V22" i="43"/>
  <c r="AI22" i="43"/>
  <c r="K22" i="43"/>
  <c r="W22" i="43"/>
  <c r="AK22" i="43"/>
  <c r="L22" i="43"/>
  <c r="Y22" i="43"/>
  <c r="L22" i="9"/>
  <c r="Y22" i="9"/>
  <c r="L22" i="42"/>
  <c r="O22" i="42"/>
  <c r="Q22" i="42"/>
  <c r="AE22" i="42"/>
  <c r="Y22" i="42"/>
  <c r="M22" i="42"/>
  <c r="S22" i="42"/>
  <c r="AF22" i="42"/>
  <c r="AA22" i="42"/>
  <c r="AG22" i="42"/>
  <c r="AC22" i="42"/>
  <c r="U22" i="42"/>
  <c r="V22" i="42"/>
  <c r="AI22" i="42"/>
  <c r="M22" i="9"/>
  <c r="O22" i="9"/>
  <c r="AC22" i="9"/>
  <c r="AA22" i="9"/>
  <c r="Q22" i="9"/>
  <c r="AE22" i="9"/>
  <c r="S22" i="9"/>
  <c r="AF22" i="9"/>
  <c r="U22" i="9"/>
  <c r="AG22" i="9"/>
  <c r="V22" i="9"/>
  <c r="AI22" i="9"/>
  <c r="K22" i="9"/>
  <c r="W22" i="9"/>
  <c r="AK22" i="9"/>
  <c r="AK22" i="14" l="1"/>
  <c r="T22" i="72"/>
  <c r="W22" i="72"/>
  <c r="BH22" i="72"/>
  <c r="BK3" i="72"/>
  <c r="BK22" i="72" s="1"/>
  <c r="AB22" i="72"/>
  <c r="AE3" i="72"/>
  <c r="AE22" i="72" s="1"/>
  <c r="BP22" i="72"/>
  <c r="BS3" i="72"/>
  <c r="BS22" i="72" s="1"/>
  <c r="DT22" i="72"/>
  <c r="DW3" i="72"/>
  <c r="DW22" i="72" s="1"/>
  <c r="CN22" i="72"/>
  <c r="CQ3" i="72"/>
  <c r="CQ22" i="72" s="1"/>
  <c r="DD22" i="72"/>
  <c r="DG3" i="72"/>
  <c r="DG22" i="72" s="1"/>
  <c r="AZ22" i="72"/>
  <c r="BC3" i="72"/>
  <c r="BC22" i="72" s="1"/>
  <c r="CV22" i="72"/>
  <c r="CY3" i="72"/>
  <c r="CY22" i="72" s="1"/>
  <c r="S22" i="72"/>
  <c r="P22" i="72"/>
  <c r="AR22" i="52" l="1"/>
  <c r="Q22" i="47"/>
  <c r="H22" i="67"/>
  <c r="H21" i="67"/>
  <c r="H20" i="67"/>
  <c r="H19" i="67"/>
  <c r="H18" i="67"/>
  <c r="H17" i="67"/>
  <c r="H16" i="67"/>
  <c r="H15" i="67"/>
  <c r="H14" i="67"/>
  <c r="E14" i="67"/>
  <c r="H13" i="67"/>
  <c r="E13" i="67"/>
  <c r="H12" i="67"/>
  <c r="E12" i="67"/>
  <c r="H11" i="67"/>
  <c r="E11" i="67"/>
  <c r="H10" i="67"/>
  <c r="E10" i="67"/>
  <c r="H9" i="67"/>
  <c r="H8" i="67"/>
  <c r="H7" i="67"/>
  <c r="H6" i="67"/>
  <c r="H5" i="67"/>
  <c r="H4" i="67"/>
  <c r="H3" i="67"/>
  <c r="C54" i="66" l="1"/>
  <c r="I20" i="9" s="1"/>
  <c r="C53" i="66"/>
  <c r="I21" i="9" s="1"/>
  <c r="C52" i="66"/>
  <c r="S52" i="66" s="1"/>
  <c r="C51" i="66"/>
  <c r="S51" i="66" s="1"/>
  <c r="C50" i="66"/>
  <c r="S50" i="66" s="1"/>
  <c r="C49" i="66"/>
  <c r="S49" i="66" s="1"/>
  <c r="C48" i="66"/>
  <c r="I15" i="9" s="1"/>
  <c r="C47" i="66"/>
  <c r="S47" i="66" s="1"/>
  <c r="C46" i="66"/>
  <c r="S46" i="66" s="1"/>
  <c r="C45" i="66"/>
  <c r="S45" i="66" s="1"/>
  <c r="C43" i="66"/>
  <c r="S43" i="66" s="1"/>
  <c r="C42" i="66"/>
  <c r="S42" i="66" s="1"/>
  <c r="C41" i="66"/>
  <c r="S41" i="66" s="1"/>
  <c r="C40" i="66"/>
  <c r="I13" i="9" s="1"/>
  <c r="C39" i="66"/>
  <c r="S39" i="66" s="1"/>
  <c r="C38" i="66"/>
  <c r="S38" i="66" s="1"/>
  <c r="C37" i="66"/>
  <c r="S37" i="66" s="1"/>
  <c r="C36" i="66"/>
  <c r="S36" i="66" s="1"/>
  <c r="C35" i="66"/>
  <c r="S35" i="66" s="1"/>
  <c r="C33" i="66"/>
  <c r="I16" i="9" s="1"/>
  <c r="C32" i="66"/>
  <c r="S32" i="66" s="1"/>
  <c r="C31" i="66"/>
  <c r="I12" i="9" s="1"/>
  <c r="C30" i="66"/>
  <c r="S30" i="66" s="1"/>
  <c r="C29" i="66"/>
  <c r="S29" i="66" s="1"/>
  <c r="C26" i="66"/>
  <c r="I10" i="9" s="1"/>
  <c r="C25" i="66"/>
  <c r="S25" i="66" s="1"/>
  <c r="C24" i="66"/>
  <c r="S24" i="66" s="1"/>
  <c r="C23" i="66"/>
  <c r="S23" i="66" s="1"/>
  <c r="C22" i="66"/>
  <c r="S22" i="66" s="1"/>
  <c r="C21" i="66"/>
  <c r="S21" i="66" s="1"/>
  <c r="C19" i="66"/>
  <c r="S19" i="66" s="1"/>
  <c r="C18" i="66"/>
  <c r="S18" i="66" s="1"/>
  <c r="C16" i="66"/>
  <c r="S16" i="66" s="1"/>
  <c r="C15" i="66"/>
  <c r="I9" i="9" s="1"/>
  <c r="C14" i="66"/>
  <c r="I8" i="9" s="1"/>
  <c r="C13" i="66"/>
  <c r="S13" i="66" s="1"/>
  <c r="C12" i="66"/>
  <c r="S12" i="66" s="1"/>
  <c r="C10" i="66"/>
  <c r="S10" i="66" s="1"/>
  <c r="C9" i="66"/>
  <c r="S9" i="66" s="1"/>
  <c r="C8" i="66"/>
  <c r="S8" i="66" s="1"/>
  <c r="C7" i="66"/>
  <c r="I4" i="9" s="1"/>
  <c r="C6" i="66"/>
  <c r="I3" i="9" s="1"/>
  <c r="C5" i="66"/>
  <c r="I6" i="9" s="1"/>
  <c r="C4" i="66"/>
  <c r="S4" i="66" s="1"/>
  <c r="C3" i="66"/>
  <c r="S3" i="66" s="1"/>
  <c r="I22" i="9" l="1"/>
  <c r="I3" i="43"/>
  <c r="I6" i="43"/>
  <c r="I4" i="43"/>
  <c r="I15" i="43"/>
  <c r="J15" i="52" s="1"/>
  <c r="I13" i="43"/>
  <c r="J13" i="52" s="1"/>
  <c r="I10" i="43"/>
  <c r="J10" i="52" s="1"/>
  <c r="I12" i="43"/>
  <c r="J12" i="52" s="1"/>
  <c r="I16" i="43"/>
  <c r="J16" i="52" s="1"/>
  <c r="I8" i="43"/>
  <c r="J8" i="52" s="1"/>
  <c r="I9" i="43"/>
  <c r="J9" i="52" s="1"/>
  <c r="I21" i="43"/>
  <c r="I20" i="43"/>
  <c r="S6" i="66"/>
  <c r="I3" i="44"/>
  <c r="I3" i="42"/>
  <c r="S7" i="66"/>
  <c r="I4" i="44"/>
  <c r="J4" i="52"/>
  <c r="I4" i="42"/>
  <c r="S15" i="66"/>
  <c r="I9" i="42"/>
  <c r="I9" i="44"/>
  <c r="S31" i="66"/>
  <c r="I12" i="44"/>
  <c r="I12" i="42"/>
  <c r="S28" i="66"/>
  <c r="I11" i="44"/>
  <c r="I11" i="42"/>
  <c r="J11" i="52"/>
  <c r="S14" i="66"/>
  <c r="I8" i="42"/>
  <c r="I8" i="44"/>
  <c r="S40" i="66"/>
  <c r="I13" i="44"/>
  <c r="I13" i="42"/>
  <c r="S48" i="66"/>
  <c r="I15" i="42"/>
  <c r="I15" i="44"/>
  <c r="S20" i="66"/>
  <c r="I18" i="42"/>
  <c r="I18" i="44"/>
  <c r="J18" i="52"/>
  <c r="S17" i="66"/>
  <c r="J17" i="52"/>
  <c r="I17" i="44"/>
  <c r="I17" i="42"/>
  <c r="S33" i="66"/>
  <c r="I16" i="42"/>
  <c r="I16" i="44"/>
  <c r="S26" i="66"/>
  <c r="I10" i="42"/>
  <c r="I10" i="44"/>
  <c r="S34" i="66"/>
  <c r="J5" i="52"/>
  <c r="I5" i="44"/>
  <c r="I5" i="42"/>
  <c r="S27" i="66"/>
  <c r="L19" i="72"/>
  <c r="I19" i="42"/>
  <c r="J19" i="52"/>
  <c r="I19" i="44"/>
  <c r="S11" i="66"/>
  <c r="J7" i="52"/>
  <c r="I7" i="42"/>
  <c r="I7" i="44"/>
  <c r="S44" i="66"/>
  <c r="J14" i="52"/>
  <c r="I14" i="44"/>
  <c r="I14" i="42"/>
  <c r="S5" i="66"/>
  <c r="J6" i="52"/>
  <c r="I6" i="42"/>
  <c r="I6" i="44"/>
  <c r="S53" i="66"/>
  <c r="I21" i="44"/>
  <c r="I21" i="42"/>
  <c r="S54" i="66"/>
  <c r="I20" i="44"/>
  <c r="AM20" i="44" s="1"/>
  <c r="I20" i="42"/>
  <c r="AM20" i="42" s="1"/>
  <c r="I21" i="52"/>
  <c r="AK22" i="52"/>
  <c r="L3" i="72" l="1"/>
  <c r="I5" i="14"/>
  <c r="AN5" i="14" s="1"/>
  <c r="L5" i="72"/>
  <c r="I13" i="14"/>
  <c r="L13" i="72"/>
  <c r="I8" i="14"/>
  <c r="L8" i="72"/>
  <c r="I18" i="14"/>
  <c r="L18" i="72"/>
  <c r="I14" i="14"/>
  <c r="L14" i="72"/>
  <c r="I15" i="14"/>
  <c r="L15" i="72"/>
  <c r="I4" i="14"/>
  <c r="L4" i="72"/>
  <c r="AM20" i="9"/>
  <c r="L20" i="72"/>
  <c r="I21" i="14"/>
  <c r="L21" i="72"/>
  <c r="I11" i="14"/>
  <c r="L11" i="72"/>
  <c r="I17" i="14"/>
  <c r="L17" i="72"/>
  <c r="I9" i="14"/>
  <c r="L9" i="72"/>
  <c r="I7" i="14"/>
  <c r="L7" i="72"/>
  <c r="I16" i="14"/>
  <c r="L16" i="72"/>
  <c r="DX3" i="72"/>
  <c r="O3" i="72"/>
  <c r="I6" i="14"/>
  <c r="L6" i="72"/>
  <c r="DX19" i="72"/>
  <c r="O19" i="72"/>
  <c r="I10" i="14"/>
  <c r="L10" i="72"/>
  <c r="I12" i="14"/>
  <c r="L12" i="72"/>
  <c r="I19" i="14"/>
  <c r="AM19" i="9"/>
  <c r="J20" i="52"/>
  <c r="AM20" i="43"/>
  <c r="I20" i="14"/>
  <c r="I22" i="42"/>
  <c r="I22" i="44"/>
  <c r="J22" i="43"/>
  <c r="K21" i="52"/>
  <c r="I22" i="43"/>
  <c r="J21" i="52"/>
  <c r="AM21" i="42"/>
  <c r="H22" i="42"/>
  <c r="AM21" i="44"/>
  <c r="H22" i="44"/>
  <c r="H23" i="44" s="1"/>
  <c r="AM21" i="9"/>
  <c r="H22" i="9"/>
  <c r="AM21" i="43"/>
  <c r="H22" i="43"/>
  <c r="J22" i="9"/>
  <c r="I3" i="14"/>
  <c r="J3" i="52"/>
  <c r="N3" i="52"/>
  <c r="R3" i="52"/>
  <c r="V3" i="52"/>
  <c r="Z3" i="52"/>
  <c r="AD3" i="52"/>
  <c r="AH3" i="52"/>
  <c r="J3" i="14"/>
  <c r="K3" i="52"/>
  <c r="O3" i="52"/>
  <c r="S3" i="52"/>
  <c r="W3" i="52"/>
  <c r="AA3" i="52"/>
  <c r="AE3" i="52"/>
  <c r="AI3" i="52"/>
  <c r="K3" i="14"/>
  <c r="L3" i="52"/>
  <c r="P3" i="52"/>
  <c r="T3" i="52"/>
  <c r="X3" i="52"/>
  <c r="AB3" i="52"/>
  <c r="AF3" i="52"/>
  <c r="AJ3" i="52"/>
  <c r="I3" i="52"/>
  <c r="L3" i="14"/>
  <c r="M3" i="52"/>
  <c r="Q3" i="52"/>
  <c r="U3" i="52"/>
  <c r="Y3" i="52"/>
  <c r="AC3" i="52"/>
  <c r="AG3" i="52"/>
  <c r="AM3" i="12"/>
  <c r="I20" i="47" l="1"/>
  <c r="O20" i="47" s="1"/>
  <c r="I21" i="47"/>
  <c r="O21" i="47" s="1"/>
  <c r="L22" i="72"/>
  <c r="DX4" i="72"/>
  <c r="O4" i="72"/>
  <c r="DX16" i="72"/>
  <c r="O16" i="72"/>
  <c r="DX15" i="72"/>
  <c r="O15" i="72"/>
  <c r="DX7" i="72"/>
  <c r="O7" i="72"/>
  <c r="DX14" i="72"/>
  <c r="O14" i="72"/>
  <c r="DX20" i="72"/>
  <c r="O20" i="72"/>
  <c r="DX9" i="72"/>
  <c r="O9" i="72"/>
  <c r="DX18" i="72"/>
  <c r="O18" i="72"/>
  <c r="ED3" i="72"/>
  <c r="EA3" i="72"/>
  <c r="DX17" i="72"/>
  <c r="O17" i="72"/>
  <c r="DX8" i="72"/>
  <c r="O8" i="72"/>
  <c r="DX10" i="72"/>
  <c r="O10" i="72"/>
  <c r="DX11" i="72"/>
  <c r="O11" i="72"/>
  <c r="DX13" i="72"/>
  <c r="O13" i="72"/>
  <c r="ED19" i="72"/>
  <c r="EA19" i="72"/>
  <c r="DX12" i="72"/>
  <c r="O12" i="72"/>
  <c r="DX21" i="72"/>
  <c r="O21" i="72"/>
  <c r="DX5" i="72"/>
  <c r="O5" i="72"/>
  <c r="DX6" i="72"/>
  <c r="O6" i="72"/>
  <c r="AN14" i="14"/>
  <c r="AN6" i="14"/>
  <c r="AN19" i="14"/>
  <c r="AN3" i="14"/>
  <c r="H22" i="14"/>
  <c r="AN4" i="14"/>
  <c r="AN7" i="14"/>
  <c r="AN18" i="14"/>
  <c r="AN17" i="14"/>
  <c r="AN12" i="14"/>
  <c r="I22" i="14"/>
  <c r="K22" i="14"/>
  <c r="AN8" i="14"/>
  <c r="AN16" i="14"/>
  <c r="AN10" i="14"/>
  <c r="AN15" i="14"/>
  <c r="AN13" i="14"/>
  <c r="J22" i="14"/>
  <c r="L22" i="14"/>
  <c r="AN11" i="14"/>
  <c r="AN9" i="14"/>
  <c r="DX22" i="72" l="1"/>
  <c r="ED9" i="72"/>
  <c r="EA9" i="72"/>
  <c r="EA13" i="72"/>
  <c r="ED13" i="72"/>
  <c r="ED20" i="72"/>
  <c r="EA20" i="72"/>
  <c r="ED11" i="72"/>
  <c r="EA11" i="72"/>
  <c r="EA14" i="72"/>
  <c r="ED14" i="72"/>
  <c r="ED10" i="72"/>
  <c r="EA10" i="72"/>
  <c r="EA7" i="72"/>
  <c r="ED7" i="72"/>
  <c r="EA6" i="72"/>
  <c r="ED6" i="72"/>
  <c r="ED8" i="72"/>
  <c r="EA8" i="72"/>
  <c r="ED15" i="72"/>
  <c r="EA15" i="72"/>
  <c r="EA5" i="72"/>
  <c r="ED5" i="72"/>
  <c r="EA17" i="72"/>
  <c r="ED17" i="72"/>
  <c r="EA16" i="72"/>
  <c r="ED16" i="72"/>
  <c r="ED21" i="72"/>
  <c r="EA21" i="72"/>
  <c r="ED4" i="72"/>
  <c r="EA4" i="72"/>
  <c r="EA12" i="72"/>
  <c r="ED12" i="72"/>
  <c r="O22" i="72"/>
  <c r="O23" i="72" s="1"/>
  <c r="S23" i="72" s="1"/>
  <c r="W23" i="72" s="1"/>
  <c r="AA23" i="72" s="1"/>
  <c r="AE23" i="72" s="1"/>
  <c r="AI23" i="72" s="1"/>
  <c r="AM23" i="72" s="1"/>
  <c r="AQ23" i="72" s="1"/>
  <c r="AU23" i="72" s="1"/>
  <c r="AY23" i="72" s="1"/>
  <c r="BC23" i="72" s="1"/>
  <c r="BG23" i="72" s="1"/>
  <c r="BK23" i="72" s="1"/>
  <c r="BO23" i="72" s="1"/>
  <c r="BS23" i="72" s="1"/>
  <c r="BW23" i="72" s="1"/>
  <c r="CA23" i="72" s="1"/>
  <c r="CE23" i="72" s="1"/>
  <c r="CI23" i="72" s="1"/>
  <c r="CM23" i="72" s="1"/>
  <c r="CQ23" i="72" s="1"/>
  <c r="CU23" i="72" s="1"/>
  <c r="CY23" i="72" s="1"/>
  <c r="DC23" i="72" s="1"/>
  <c r="DG23" i="72" s="1"/>
  <c r="DK23" i="72" s="1"/>
  <c r="DO23" i="72" s="1"/>
  <c r="DS23" i="72" s="1"/>
  <c r="DW23" i="72" s="1"/>
  <c r="ED18" i="72"/>
  <c r="EA18" i="72"/>
  <c r="AL22" i="52"/>
  <c r="AS16" i="52"/>
  <c r="AS9" i="52"/>
  <c r="AS10" i="52"/>
  <c r="AM11" i="52"/>
  <c r="AS13" i="52"/>
  <c r="AM13" i="52"/>
  <c r="AS17" i="52"/>
  <c r="AM9" i="52"/>
  <c r="AM8" i="52"/>
  <c r="AM18" i="52"/>
  <c r="AM17" i="52"/>
  <c r="AM7" i="52"/>
  <c r="AS15" i="52"/>
  <c r="AM6" i="52"/>
  <c r="AS3" i="52"/>
  <c r="AS14" i="52"/>
  <c r="AM14" i="52"/>
  <c r="AM4" i="52"/>
  <c r="AS6" i="52"/>
  <c r="AM16" i="52"/>
  <c r="AS19" i="52"/>
  <c r="AS4" i="52"/>
  <c r="AM15" i="52"/>
  <c r="AS8" i="52"/>
  <c r="AM10" i="52"/>
  <c r="AM12" i="52"/>
  <c r="AM19" i="52"/>
  <c r="AS11" i="52"/>
  <c r="AS12" i="52"/>
  <c r="AM3" i="52"/>
  <c r="AS18" i="52"/>
  <c r="AS7" i="52"/>
  <c r="AS5" i="52"/>
  <c r="AM5" i="52"/>
  <c r="EA22" i="72" l="1"/>
  <c r="ED22" i="72"/>
  <c r="AM13" i="42"/>
  <c r="AM15" i="42"/>
  <c r="AM12" i="42"/>
  <c r="AM9" i="42"/>
  <c r="AM7" i="42"/>
  <c r="AM3" i="42"/>
  <c r="AN16" i="42"/>
  <c r="AN15" i="42"/>
  <c r="AN14" i="42"/>
  <c r="AN13" i="42"/>
  <c r="AN12" i="42"/>
  <c r="AN11" i="42"/>
  <c r="AN10" i="42"/>
  <c r="AN9" i="42"/>
  <c r="AN8" i="42"/>
  <c r="AN7" i="42"/>
  <c r="AN6" i="42"/>
  <c r="AN5" i="42"/>
  <c r="AN4" i="42"/>
  <c r="AN3" i="42"/>
  <c r="AN7" i="43"/>
  <c r="AN8" i="43"/>
  <c r="AN9" i="43"/>
  <c r="AN10" i="43"/>
  <c r="AN11" i="43"/>
  <c r="AN12" i="43"/>
  <c r="AN13" i="43"/>
  <c r="AN14" i="43"/>
  <c r="AN15" i="43"/>
  <c r="AN16" i="43"/>
  <c r="AN4" i="43"/>
  <c r="AN5" i="43"/>
  <c r="AN6" i="43"/>
  <c r="AN3" i="43"/>
  <c r="AM15" i="44"/>
  <c r="AM12" i="44"/>
  <c r="AM6" i="44"/>
  <c r="AM5" i="44"/>
  <c r="AM16" i="43"/>
  <c r="AM15" i="43"/>
  <c r="AM14" i="43"/>
  <c r="AM13" i="43"/>
  <c r="AM12" i="43"/>
  <c r="AM11" i="43"/>
  <c r="AM10" i="43"/>
  <c r="AM9" i="43"/>
  <c r="AM8" i="43"/>
  <c r="AM7" i="43"/>
  <c r="AM6" i="43"/>
  <c r="AM5" i="43"/>
  <c r="AM4" i="43"/>
  <c r="AM3" i="43"/>
  <c r="AM13" i="44"/>
  <c r="AM16" i="42"/>
  <c r="AM11" i="42"/>
  <c r="AM4" i="42"/>
  <c r="AM15" i="12"/>
  <c r="H23" i="43"/>
  <c r="AN19" i="43"/>
  <c r="AN19" i="42"/>
  <c r="AN18" i="42"/>
  <c r="AN18" i="43"/>
  <c r="AN17" i="43"/>
  <c r="AN17" i="42"/>
  <c r="AM14" i="11" l="1"/>
  <c r="AM17" i="42"/>
  <c r="AM17" i="44"/>
  <c r="I23" i="43"/>
  <c r="J23" i="43" s="1"/>
  <c r="K23" i="43" s="1"/>
  <c r="L23" i="43" s="1"/>
  <c r="M23" i="43" s="1"/>
  <c r="N23" i="43" s="1"/>
  <c r="O23" i="43" s="1"/>
  <c r="P23" i="43" s="1"/>
  <c r="Q23" i="43" s="1"/>
  <c r="R23" i="43" s="1"/>
  <c r="S23" i="43" s="1"/>
  <c r="T23" i="43" s="1"/>
  <c r="U23" i="43" s="1"/>
  <c r="V23" i="43" s="1"/>
  <c r="W23" i="43" s="1"/>
  <c r="X23" i="43" s="1"/>
  <c r="Y23" i="43" s="1"/>
  <c r="Z23" i="43" s="1"/>
  <c r="AA23" i="43" s="1"/>
  <c r="AB23" i="43" s="1"/>
  <c r="AC23" i="43" s="1"/>
  <c r="AD23" i="43" s="1"/>
  <c r="AE23" i="43" s="1"/>
  <c r="AF23" i="43" s="1"/>
  <c r="AG23" i="43" s="1"/>
  <c r="AH23" i="43" s="1"/>
  <c r="AI23" i="43" s="1"/>
  <c r="AJ23" i="43" s="1"/>
  <c r="AK23" i="43" s="1"/>
  <c r="AL23" i="43" s="1"/>
  <c r="AM18" i="44"/>
  <c r="AM19" i="42"/>
  <c r="AM19" i="44"/>
  <c r="AM17" i="43"/>
  <c r="AM18" i="42"/>
  <c r="AM12" i="11"/>
  <c r="AM16" i="11"/>
  <c r="AM9" i="44"/>
  <c r="AM10" i="44"/>
  <c r="AM14" i="44"/>
  <c r="AM16" i="44"/>
  <c r="AM7" i="44"/>
  <c r="AM6" i="42"/>
  <c r="AM10" i="42"/>
  <c r="AM8" i="42"/>
  <c r="AM14" i="42"/>
  <c r="AM4" i="44"/>
  <c r="AM8" i="44"/>
  <c r="AM11" i="44"/>
  <c r="AM6" i="11"/>
  <c r="AM10" i="11"/>
  <c r="AM17" i="11"/>
  <c r="AM8" i="11"/>
  <c r="AM3" i="11"/>
  <c r="AM11" i="11"/>
  <c r="AM7" i="11"/>
  <c r="H23" i="11"/>
  <c r="AM5" i="11"/>
  <c r="AM15" i="11"/>
  <c r="AM13" i="11"/>
  <c r="AM4" i="11"/>
  <c r="AM9" i="11"/>
  <c r="AM18" i="11"/>
  <c r="AM19" i="11"/>
  <c r="AM8" i="12"/>
  <c r="AM13" i="12"/>
  <c r="AM7" i="12"/>
  <c r="AM9" i="12"/>
  <c r="AM16" i="12"/>
  <c r="AM17" i="12"/>
  <c r="AM10" i="12"/>
  <c r="AM19" i="12"/>
  <c r="AL22" i="12"/>
  <c r="AM4" i="12"/>
  <c r="AM14" i="12"/>
  <c r="AM5" i="12"/>
  <c r="AM12" i="12"/>
  <c r="AM18" i="12"/>
  <c r="AM11" i="12"/>
  <c r="AM6" i="12"/>
  <c r="I23" i="44"/>
  <c r="AM3" i="44"/>
  <c r="AM5" i="42"/>
  <c r="H23" i="42"/>
  <c r="AM5" i="9"/>
  <c r="AM15" i="9"/>
  <c r="AM8" i="9"/>
  <c r="AM3" i="9"/>
  <c r="AM18" i="43"/>
  <c r="AM19" i="43"/>
  <c r="H23" i="9"/>
  <c r="AM13" i="9"/>
  <c r="AM11" i="9"/>
  <c r="AM4" i="9"/>
  <c r="AM22" i="12" l="1"/>
  <c r="I6" i="47"/>
  <c r="I4" i="47"/>
  <c r="O4" i="47" s="1"/>
  <c r="I11" i="47"/>
  <c r="O11" i="47" s="1"/>
  <c r="I10" i="47"/>
  <c r="I13" i="47"/>
  <c r="I18" i="47"/>
  <c r="I7" i="47"/>
  <c r="AL22" i="11"/>
  <c r="AM22" i="11"/>
  <c r="AM22" i="42"/>
  <c r="AM22" i="44"/>
  <c r="AM22" i="43"/>
  <c r="H23" i="12"/>
  <c r="I23" i="42"/>
  <c r="J23" i="42" s="1"/>
  <c r="K23" i="42" s="1"/>
  <c r="L23" i="42" s="1"/>
  <c r="M23" i="42" s="1"/>
  <c r="N23" i="42" s="1"/>
  <c r="O23" i="42" s="1"/>
  <c r="P23" i="42" s="1"/>
  <c r="Q23" i="42" s="1"/>
  <c r="R23" i="42" s="1"/>
  <c r="S23" i="42" s="1"/>
  <c r="T23" i="42" s="1"/>
  <c r="U23" i="42" s="1"/>
  <c r="V23" i="42" s="1"/>
  <c r="W23" i="42" s="1"/>
  <c r="X23" i="42" s="1"/>
  <c r="Y23" i="42" s="1"/>
  <c r="Z23" i="42" s="1"/>
  <c r="AA23" i="42" s="1"/>
  <c r="AB23" i="42" s="1"/>
  <c r="AC23" i="42" s="1"/>
  <c r="AD23" i="42" s="1"/>
  <c r="AE23" i="42" s="1"/>
  <c r="AF23" i="42" s="1"/>
  <c r="AG23" i="42" s="1"/>
  <c r="AH23" i="42" s="1"/>
  <c r="AI23" i="42" s="1"/>
  <c r="AJ23" i="42" s="1"/>
  <c r="AK23" i="42" s="1"/>
  <c r="AL23" i="42" s="1"/>
  <c r="I23" i="9"/>
  <c r="J23" i="9" s="1"/>
  <c r="I23" i="11"/>
  <c r="J23" i="11" s="1"/>
  <c r="K23" i="11" s="1"/>
  <c r="L23" i="11" s="1"/>
  <c r="M23" i="11" s="1"/>
  <c r="N23" i="11" s="1"/>
  <c r="O23" i="11" s="1"/>
  <c r="P23" i="11" s="1"/>
  <c r="Q23" i="11" s="1"/>
  <c r="R23" i="11" s="1"/>
  <c r="S23" i="11" s="1"/>
  <c r="T23" i="11" s="1"/>
  <c r="U23" i="11" s="1"/>
  <c r="V23" i="11" s="1"/>
  <c r="W23" i="11" s="1"/>
  <c r="X23" i="11" s="1"/>
  <c r="Y23" i="11" s="1"/>
  <c r="Z23" i="11" s="1"/>
  <c r="AA23" i="11" s="1"/>
  <c r="AB23" i="11" s="1"/>
  <c r="AC23" i="11" s="1"/>
  <c r="AD23" i="11" s="1"/>
  <c r="AE23" i="11" s="1"/>
  <c r="AF23" i="11" s="1"/>
  <c r="AG23" i="11" s="1"/>
  <c r="AH23" i="11" s="1"/>
  <c r="AI23" i="11" s="1"/>
  <c r="AJ23" i="11" s="1"/>
  <c r="AK23" i="11" s="1"/>
  <c r="AL8" i="14"/>
  <c r="AL5" i="14"/>
  <c r="AL11" i="14"/>
  <c r="AL4" i="14"/>
  <c r="J23" i="44"/>
  <c r="K23" i="44" s="1"/>
  <c r="L23" i="44" s="1"/>
  <c r="M23" i="44" s="1"/>
  <c r="N23" i="44" s="1"/>
  <c r="O23" i="44" s="1"/>
  <c r="P23" i="44" s="1"/>
  <c r="Q23" i="44" s="1"/>
  <c r="R23" i="44" s="1"/>
  <c r="S23" i="44" s="1"/>
  <c r="T23" i="44" s="1"/>
  <c r="U23" i="44" s="1"/>
  <c r="V23" i="44" s="1"/>
  <c r="W23" i="44" s="1"/>
  <c r="X23" i="44" s="1"/>
  <c r="Y23" i="44" s="1"/>
  <c r="Z23" i="44" s="1"/>
  <c r="AA23" i="44" s="1"/>
  <c r="AB23" i="44" s="1"/>
  <c r="AC23" i="44" s="1"/>
  <c r="AD23" i="44" s="1"/>
  <c r="AE23" i="44" s="1"/>
  <c r="AF23" i="44" s="1"/>
  <c r="AG23" i="44" s="1"/>
  <c r="AH23" i="44" s="1"/>
  <c r="AI23" i="44" s="1"/>
  <c r="AJ23" i="44" s="1"/>
  <c r="AK23" i="44" s="1"/>
  <c r="AL23" i="44" s="1"/>
  <c r="AM17" i="9"/>
  <c r="AM9" i="9"/>
  <c r="AL16" i="14"/>
  <c r="AM16" i="9"/>
  <c r="AM18" i="9"/>
  <c r="AL7" i="14"/>
  <c r="AL15" i="14"/>
  <c r="I17" i="47"/>
  <c r="AM12" i="9"/>
  <c r="AL12" i="14"/>
  <c r="AL13" i="14"/>
  <c r="AM6" i="9"/>
  <c r="AM14" i="9"/>
  <c r="AL10" i="14"/>
  <c r="AM10" i="9"/>
  <c r="AM7" i="9"/>
  <c r="I19" i="47" l="1"/>
  <c r="O19" i="47" s="1"/>
  <c r="I12" i="47"/>
  <c r="O12" i="47" s="1"/>
  <c r="I3" i="47"/>
  <c r="O3" i="47" s="1"/>
  <c r="I14" i="47"/>
  <c r="O14" i="47" s="1"/>
  <c r="I8" i="47"/>
  <c r="O8" i="47" s="1"/>
  <c r="I9" i="47"/>
  <c r="O9" i="47" s="1"/>
  <c r="I5" i="47"/>
  <c r="O5" i="47" s="1"/>
  <c r="I16" i="47"/>
  <c r="O16" i="47" s="1"/>
  <c r="I15" i="47"/>
  <c r="O15" i="47" s="1"/>
  <c r="O7" i="47"/>
  <c r="AM22" i="9"/>
  <c r="O10" i="47"/>
  <c r="O6" i="47"/>
  <c r="O18" i="47"/>
  <c r="O13" i="47"/>
  <c r="AN20" i="14"/>
  <c r="N22" i="47"/>
  <c r="L22" i="47"/>
  <c r="AL20" i="14"/>
  <c r="I23" i="12"/>
  <c r="J23" i="12" s="1"/>
  <c r="AM20" i="52"/>
  <c r="AS20" i="52"/>
  <c r="I22" i="52"/>
  <c r="I23" i="52" s="1"/>
  <c r="O17" i="47"/>
  <c r="K23" i="9"/>
  <c r="L23" i="9" s="1"/>
  <c r="M23" i="9" s="1"/>
  <c r="N23" i="9" s="1"/>
  <c r="O23" i="9" s="1"/>
  <c r="P23" i="9" s="1"/>
  <c r="Q23" i="9" s="1"/>
  <c r="R23" i="9" s="1"/>
  <c r="S23" i="9" s="1"/>
  <c r="T23" i="9" s="1"/>
  <c r="U23" i="9" s="1"/>
  <c r="V23" i="9" s="1"/>
  <c r="W23" i="9" s="1"/>
  <c r="X23" i="9" s="1"/>
  <c r="Y23" i="9" s="1"/>
  <c r="Z23" i="9" s="1"/>
  <c r="AA23" i="9" s="1"/>
  <c r="AB23" i="9" s="1"/>
  <c r="AC23" i="9" s="1"/>
  <c r="AD23" i="9" s="1"/>
  <c r="AE23" i="9" s="1"/>
  <c r="AF23" i="9" s="1"/>
  <c r="AG23" i="9" s="1"/>
  <c r="AH23" i="9" s="1"/>
  <c r="AI23" i="9" s="1"/>
  <c r="AJ23" i="9" s="1"/>
  <c r="AK23" i="9" s="1"/>
  <c r="AL23" i="9" s="1"/>
  <c r="AL18" i="14"/>
  <c r="AL14" i="14"/>
  <c r="AL6" i="14"/>
  <c r="H23" i="14"/>
  <c r="AL17" i="14"/>
  <c r="AL3" i="14"/>
  <c r="AL19" i="14"/>
  <c r="AL9" i="14"/>
  <c r="I22" i="47" l="1"/>
  <c r="J22" i="52"/>
  <c r="J23" i="52" s="1"/>
  <c r="O22" i="47"/>
  <c r="K23" i="12"/>
  <c r="I23" i="14"/>
  <c r="J23" i="14" s="1"/>
  <c r="K23" i="14" s="1"/>
  <c r="L23" i="14" s="1"/>
  <c r="K22" i="52" l="1"/>
  <c r="K23" i="52" s="1"/>
  <c r="L23" i="12"/>
  <c r="L22" i="52" l="1"/>
  <c r="L23" i="52" s="1"/>
  <c r="M23" i="12"/>
  <c r="M22" i="52"/>
  <c r="N23" i="12" l="1"/>
  <c r="N22" i="52"/>
  <c r="M23" i="52"/>
  <c r="M22" i="14" l="1"/>
  <c r="M23" i="14" s="1"/>
  <c r="N23" i="52"/>
  <c r="O23" i="12"/>
  <c r="N22" i="14"/>
  <c r="O22" i="52"/>
  <c r="O23" i="52" l="1"/>
  <c r="N23" i="14"/>
  <c r="P23" i="12"/>
  <c r="O22" i="14"/>
  <c r="P22" i="52"/>
  <c r="P23" i="52" s="1"/>
  <c r="O23" i="14" l="1"/>
  <c r="Q23" i="12"/>
  <c r="Q22" i="52"/>
  <c r="Q23" i="52" s="1"/>
  <c r="P22" i="14" l="1"/>
  <c r="P23" i="14" s="1"/>
  <c r="R23" i="12"/>
  <c r="Q22" i="14"/>
  <c r="R22" i="52"/>
  <c r="R23" i="52" s="1"/>
  <c r="Q23" i="14" l="1"/>
  <c r="S23" i="12"/>
  <c r="R22" i="14"/>
  <c r="S22" i="52"/>
  <c r="S23" i="52" s="1"/>
  <c r="R23" i="14" l="1"/>
  <c r="T23" i="12"/>
  <c r="S22" i="14"/>
  <c r="T22" i="52"/>
  <c r="T23" i="52" s="1"/>
  <c r="S23" i="14" l="1"/>
  <c r="U23" i="12"/>
  <c r="T22" i="14"/>
  <c r="U22" i="52"/>
  <c r="U23" i="52" s="1"/>
  <c r="T23" i="14" l="1"/>
  <c r="V23" i="12"/>
  <c r="U22" i="14"/>
  <c r="V22" i="52"/>
  <c r="V23" i="52" s="1"/>
  <c r="U23" i="14" l="1"/>
  <c r="W23" i="12"/>
  <c r="V22" i="14" l="1"/>
  <c r="V23" i="14" s="1"/>
  <c r="AN21" i="14"/>
  <c r="AN22" i="14" s="1"/>
  <c r="W22" i="52"/>
  <c r="W23" i="52" s="1"/>
  <c r="AS21" i="52"/>
  <c r="AS22" i="52" s="1"/>
  <c r="X23" i="12"/>
  <c r="W22" i="14"/>
  <c r="X22" i="52"/>
  <c r="W23" i="14" l="1"/>
  <c r="Y23" i="12"/>
  <c r="X22" i="14"/>
  <c r="Y22" i="52"/>
  <c r="X23" i="52"/>
  <c r="X23" i="14" l="1"/>
  <c r="Y23" i="52"/>
  <c r="Z23" i="12"/>
  <c r="Y22" i="14"/>
  <c r="Z22" i="52"/>
  <c r="Y23" i="14" l="1"/>
  <c r="AA23" i="12"/>
  <c r="Z22" i="14"/>
  <c r="AA22" i="52"/>
  <c r="Z23" i="52"/>
  <c r="Z23" i="14" l="1"/>
  <c r="AA23" i="52"/>
  <c r="AB23" i="12"/>
  <c r="AA22" i="14"/>
  <c r="AB22" i="52"/>
  <c r="AA23" i="14" l="1"/>
  <c r="AC23" i="12"/>
  <c r="AB22" i="14"/>
  <c r="AC22" i="52"/>
  <c r="AB23" i="52"/>
  <c r="AB23" i="14" l="1"/>
  <c r="AC23" i="52"/>
  <c r="AD23" i="12"/>
  <c r="AC22" i="14"/>
  <c r="AD22" i="52"/>
  <c r="AC23" i="14" l="1"/>
  <c r="AE23" i="12"/>
  <c r="AD22" i="14"/>
  <c r="AE22" i="52"/>
  <c r="AD23" i="52"/>
  <c r="AD23" i="14" l="1"/>
  <c r="AE23" i="52"/>
  <c r="AF23" i="12"/>
  <c r="AE22" i="14"/>
  <c r="AF22" i="52"/>
  <c r="AE23" i="14" l="1"/>
  <c r="AG23" i="12"/>
  <c r="AG22" i="52"/>
  <c r="AF22" i="14"/>
  <c r="AF23" i="52"/>
  <c r="AF23" i="14" l="1"/>
  <c r="AG23" i="52"/>
  <c r="AH23" i="12"/>
  <c r="AG22" i="14"/>
  <c r="AH22" i="52"/>
  <c r="AG23" i="14" l="1"/>
  <c r="AI23" i="12"/>
  <c r="AJ23" i="12" s="1"/>
  <c r="AK23" i="12" s="1"/>
  <c r="AH22" i="14"/>
  <c r="AI22" i="52"/>
  <c r="AH23" i="52"/>
  <c r="AH23" i="14" l="1"/>
  <c r="AI23" i="52"/>
  <c r="AL21" i="14" l="1"/>
  <c r="AL22" i="14" s="1"/>
  <c r="AI22" i="14"/>
  <c r="AI23" i="14" s="1"/>
  <c r="AJ23" i="14" s="1"/>
  <c r="AK23" i="14" s="1"/>
  <c r="AJ22" i="52"/>
  <c r="AJ23" i="52" s="1"/>
  <c r="AK23" i="52" s="1"/>
  <c r="AL23" i="52" s="1"/>
  <c r="AM21" i="52"/>
  <c r="AM22" i="5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Cardoso Cunha</author>
  </authors>
  <commentList>
    <comment ref="AE2" authorId="0" shapeId="0" xr:uid="{E0201C7D-D577-469B-BE7D-2FF1C26C75AE}">
      <text>
        <r>
          <rPr>
            <b/>
            <sz val="9"/>
            <color indexed="81"/>
            <rFont val="Segoe UI"/>
            <family val="2"/>
          </rPr>
          <t>A leitura das observações visuais aqui descritas podem ser acompanhadas abrindo o arquivo KMZ dos aeroportos do AmpliAR "KMZ_AmpliAR_prioritarios"</t>
        </r>
      </text>
    </comment>
    <comment ref="Y3" authorId="0" shapeId="0" xr:uid="{AFE06850-E4C2-43E8-AA78-E2A603E51AA6}">
      <text>
        <r>
          <rPr>
            <b/>
            <sz val="9"/>
            <color indexed="81"/>
            <rFont val="Segoe UI"/>
            <family val="2"/>
          </rPr>
          <t>Considerando reaproveitamento de 12000 m² de pátio existente</t>
        </r>
      </text>
    </comment>
    <comment ref="AC3" authorId="0" shapeId="0" xr:uid="{80B6CEBF-7FF5-4CEA-B019-81E7CEED339C}">
      <text>
        <r>
          <rPr>
            <b/>
            <sz val="9"/>
            <color indexed="81"/>
            <rFont val="Segoe UI"/>
            <family val="2"/>
          </rPr>
          <t>Considerando Aumento do estacionamento de veículos, aproveitando 1.675 m² do estacionamento existente</t>
        </r>
      </text>
    </comment>
    <comment ref="Y4" authorId="0" shapeId="0" xr:uid="{046BA851-4F41-4EDE-BCE4-2438ADF35FBF}">
      <text>
        <r>
          <rPr>
            <b/>
            <sz val="9"/>
            <color indexed="81"/>
            <rFont val="Segoe UI"/>
            <family val="2"/>
          </rPr>
          <t>Considerando reaproveitamento de 5823 m² de pátio existente</t>
        </r>
      </text>
    </comment>
    <comment ref="AA4" authorId="0" shapeId="0" xr:uid="{98802350-DDE7-4591-B8DD-4598CF57AB82}">
      <text>
        <r>
          <rPr>
            <b/>
            <sz val="9"/>
            <color indexed="81"/>
            <rFont val="Segoe UI"/>
            <family val="2"/>
          </rPr>
          <t xml:space="preserve">Considerada a construção de novo TPS.
</t>
        </r>
      </text>
    </comment>
    <comment ref="AC4" authorId="0" shapeId="0" xr:uid="{DE67FEE6-0AB5-4B08-AB91-70CC62361789}">
      <text>
        <r>
          <rPr>
            <b/>
            <sz val="9"/>
            <color indexed="81"/>
            <rFont val="Segoe UI"/>
            <family val="2"/>
          </rPr>
          <t xml:space="preserve">Considerada a Construção de novo estacionamento de veículos
</t>
        </r>
      </text>
    </comment>
    <comment ref="AD4" authorId="0" shapeId="0" xr:uid="{D228467B-1697-4310-A4FD-3DEF146809AA}">
      <text>
        <r>
          <rPr>
            <b/>
            <sz val="9"/>
            <color indexed="81"/>
            <rFont val="Segoe UI"/>
            <family val="2"/>
          </rPr>
          <t>Luzes de pista para acompanhar o aumento de PPd previsto</t>
        </r>
      </text>
    </comment>
    <comment ref="X5" authorId="0" shapeId="0" xr:uid="{C0E83AD4-7BB1-4379-94C2-4901E7D0A947}">
      <text>
        <r>
          <rPr>
            <b/>
            <sz val="9"/>
            <color indexed="81"/>
            <rFont val="Segoe UI"/>
            <family val="2"/>
          </rPr>
          <t>Considerando largamento da PTR</t>
        </r>
      </text>
    </comment>
    <comment ref="Y5" authorId="0" shapeId="0" xr:uid="{EC879461-DCC3-4C5A-A275-C6BCFA5940AC}">
      <text>
        <r>
          <rPr>
            <b/>
            <sz val="9"/>
            <color indexed="81"/>
            <rFont val="Segoe UI"/>
            <family val="2"/>
          </rPr>
          <t>Considerando reaproveitamento de pátio existente. Alargamento em direção ao TPS</t>
        </r>
      </text>
    </comment>
    <comment ref="AA5" authorId="0" shapeId="0" xr:uid="{94366B3E-9061-43BB-AB52-E7DF397104F9}">
      <text>
        <r>
          <rPr>
            <b/>
            <sz val="9"/>
            <color indexed="81"/>
            <rFont val="Segoe UI"/>
            <family val="2"/>
          </rPr>
          <t xml:space="preserve">Considerada Aumento do TPS.
Reaproveitado 669 m² do TPS existente
</t>
        </r>
      </text>
    </comment>
    <comment ref="AC5" authorId="0" shapeId="0" xr:uid="{1B5A4824-C4A2-4327-879C-A21D78BAE7F7}">
      <text>
        <r>
          <rPr>
            <b/>
            <sz val="9"/>
            <color indexed="81"/>
            <rFont val="Segoe UI"/>
            <family val="2"/>
          </rPr>
          <t>Considerando Aumento do estacionamento de veículos</t>
        </r>
      </text>
    </comment>
    <comment ref="AD5" authorId="0" shapeId="0" xr:uid="{B6B1C61A-74E5-4978-B1E4-D2898F1FE831}">
      <text>
        <r>
          <rPr>
            <b/>
            <sz val="9"/>
            <color indexed="81"/>
            <rFont val="Segoe UI"/>
            <family val="2"/>
          </rPr>
          <t>Luzes de pista para acompanhar o aumento de PPd previsto</t>
        </r>
      </text>
    </comment>
    <comment ref="Y6" authorId="0" shapeId="0" xr:uid="{BC262813-44F2-4B2E-86B9-256DCEE93EDF}">
      <text>
        <r>
          <rPr>
            <b/>
            <sz val="9"/>
            <color indexed="81"/>
            <rFont val="Segoe UI"/>
            <family val="2"/>
          </rPr>
          <t>Considerando reaproveitamento de pátio existente. Alargamento para melhorar operação de aviação geral</t>
        </r>
      </text>
    </comment>
    <comment ref="AC6" authorId="0" shapeId="0" xr:uid="{279FF2FB-8E76-4A59-B473-94066BA4E4BD}">
      <text>
        <r>
          <rPr>
            <b/>
            <sz val="9"/>
            <color indexed="81"/>
            <rFont val="Segoe UI"/>
            <family val="2"/>
          </rPr>
          <t>Considerando Aumento do estacionamento de veículos</t>
        </r>
      </text>
    </comment>
    <comment ref="Y7" authorId="0" shapeId="0" xr:uid="{77790F97-E5FE-40F3-8CAB-1BED9BFAAEFB}">
      <text>
        <r>
          <rPr>
            <b/>
            <sz val="9"/>
            <color indexed="81"/>
            <rFont val="Segoe UI"/>
            <family val="2"/>
          </rPr>
          <t>Considerando reaproveitamento de 16.892 m² de pátio existente</t>
        </r>
      </text>
    </comment>
    <comment ref="AA7" authorId="0" shapeId="0" xr:uid="{99CF08D3-E69D-4A5B-BD51-1010E00A8220}">
      <text>
        <r>
          <rPr>
            <b/>
            <sz val="9"/>
            <color indexed="81"/>
            <rFont val="Segoe UI"/>
            <family val="2"/>
          </rPr>
          <t>Considerada Aumento do TPS.
Reaproveitado 1100 m² do TPS existente</t>
        </r>
      </text>
    </comment>
    <comment ref="AC7" authorId="0" shapeId="0" xr:uid="{4BFCDF65-E423-45A0-B27E-AABD661C13F0}">
      <text>
        <r>
          <rPr>
            <b/>
            <sz val="9"/>
            <color indexed="81"/>
            <rFont val="Segoe UI"/>
            <family val="2"/>
          </rPr>
          <t>Considerando Aumento do estacionamento de veículos, aproveitando 2.415 m² do estacionamento existente</t>
        </r>
      </text>
    </comment>
    <comment ref="W8" authorId="0" shapeId="0" xr:uid="{6AF66A7B-A44E-4D4A-9F9D-9BA1DC34DE58}">
      <text>
        <r>
          <rPr>
            <b/>
            <sz val="9"/>
            <color indexed="81"/>
            <rFont val="Segoe UI"/>
            <family val="2"/>
          </rPr>
          <t>Parte de 1320x60
Para 1400x150</t>
        </r>
      </text>
    </comment>
    <comment ref="X8" authorId="0" shapeId="0" xr:uid="{52BDB431-FCD0-4FE9-804A-5D67C50F2625}">
      <text>
        <r>
          <rPr>
            <b/>
            <sz val="9"/>
            <color indexed="81"/>
            <rFont val="Segoe UI"/>
            <family val="2"/>
          </rPr>
          <t>Nova PTR considerando aproveitamento de parte do Pátio para compor a Nova PTR</t>
        </r>
      </text>
    </comment>
    <comment ref="Y8" authorId="0" shapeId="0" xr:uid="{B7DB7E02-F6A2-4D9F-A34B-1ADC5D6FC4ED}">
      <text>
        <r>
          <rPr>
            <b/>
            <sz val="9"/>
            <color indexed="81"/>
            <rFont val="Segoe UI"/>
            <family val="2"/>
          </rPr>
          <t>Considerando necessidade de novo pátio para se adequar a distância de segurança entre-eixos</t>
        </r>
      </text>
    </comment>
    <comment ref="AA8" authorId="0" shapeId="0" xr:uid="{BEACF953-64A2-49CA-9BE3-6ACF5309D921}">
      <text>
        <r>
          <rPr>
            <b/>
            <sz val="9"/>
            <color indexed="81"/>
            <rFont val="Segoe UI"/>
            <family val="2"/>
          </rPr>
          <t xml:space="preserve">Considerada a construção de novo TPS.
</t>
        </r>
      </text>
    </comment>
    <comment ref="AC8" authorId="0" shapeId="0" xr:uid="{A021D9EE-AFBE-4C93-8C4E-5B2D4AE51224}">
      <text>
        <r>
          <rPr>
            <b/>
            <sz val="9"/>
            <color indexed="81"/>
            <rFont val="Segoe UI"/>
            <family val="2"/>
          </rPr>
          <t xml:space="preserve">Considerada a Construção de novo estacionamento de veículos
</t>
        </r>
      </text>
    </comment>
    <comment ref="AD8" authorId="0" shapeId="0" xr:uid="{388411D8-6AB3-4C13-B9C0-73143193B242}">
      <text>
        <r>
          <rPr>
            <b/>
            <sz val="9"/>
            <color indexed="81"/>
            <rFont val="Segoe UI"/>
            <family val="2"/>
          </rPr>
          <t>Luzes de pista para acompanhar o aumento de PPd previsto</t>
        </r>
      </text>
    </comment>
    <comment ref="X9" authorId="0" shapeId="0" xr:uid="{EBC5604F-3505-4EDC-B71E-E45ED9BC1B5F}">
      <text>
        <r>
          <rPr>
            <b/>
            <sz val="9"/>
            <color indexed="81"/>
            <rFont val="Segoe UI"/>
            <family val="2"/>
          </rPr>
          <t>Considerando alargamento da PTR</t>
        </r>
      </text>
    </comment>
    <comment ref="Y9" authorId="0" shapeId="0" xr:uid="{10C9B7A3-15CA-474C-8312-160AD6ABE1C4}">
      <text>
        <r>
          <rPr>
            <b/>
            <sz val="9"/>
            <color indexed="81"/>
            <rFont val="Segoe UI"/>
            <family val="2"/>
          </rPr>
          <t>Considerando reaproveitamento de 5.707 m² de pátio existente</t>
        </r>
      </text>
    </comment>
    <comment ref="AA9" authorId="0" shapeId="0" xr:uid="{00863C7A-258E-41AF-B808-A41CBC8D0A72}">
      <text>
        <r>
          <rPr>
            <b/>
            <sz val="9"/>
            <color indexed="81"/>
            <rFont val="Segoe UI"/>
            <family val="2"/>
          </rPr>
          <t>Considerada Aumento do TPS.
Reaproveitado 1.200 m² do TPS existente</t>
        </r>
      </text>
    </comment>
    <comment ref="AC9" authorId="0" shapeId="0" xr:uid="{7FBFC5C4-071E-4E43-A388-D7D87BD58B26}">
      <text>
        <r>
          <rPr>
            <b/>
            <sz val="9"/>
            <color indexed="81"/>
            <rFont val="Segoe UI"/>
            <family val="2"/>
          </rPr>
          <t>Considerando Aumento do estacionamento de veículos, aproveitando 3.650 m² do estacionamento existente</t>
        </r>
      </text>
    </comment>
    <comment ref="V10" authorId="0" shapeId="0" xr:uid="{992A3181-80C8-40B8-B3DC-DFC2F5EBFFFA}">
      <text>
        <r>
          <rPr>
            <b/>
            <sz val="9"/>
            <color indexed="81"/>
            <rFont val="Segoe UI"/>
            <family val="2"/>
          </rPr>
          <t>Atualizado para desconsiderar relevo ondulado.
Metragem de acordo com Anexo 4</t>
        </r>
      </text>
    </comment>
    <comment ref="X10" authorId="0" shapeId="0" xr:uid="{2B26B671-85F6-4B8B-BFAF-2922604A243A}">
      <text>
        <r>
          <rPr>
            <b/>
            <sz val="9"/>
            <color indexed="81"/>
            <rFont val="Segoe UI"/>
            <family val="2"/>
          </rPr>
          <t>Considerando largamento da PTR</t>
        </r>
      </text>
    </comment>
    <comment ref="Y10" authorId="0" shapeId="0" xr:uid="{6D822F83-B948-45D5-9957-D3DDEEF38B7E}">
      <text>
        <r>
          <rPr>
            <b/>
            <sz val="9"/>
            <color indexed="81"/>
            <rFont val="Segoe UI"/>
            <family val="2"/>
          </rPr>
          <t>Considerando reaproveitamento de 14.107 m² de pátio existente</t>
        </r>
      </text>
    </comment>
    <comment ref="AA10" authorId="0" shapeId="0" xr:uid="{B5866ECF-C230-4931-B51A-BA5AA05228CA}">
      <text>
        <r>
          <rPr>
            <b/>
            <sz val="9"/>
            <color indexed="81"/>
            <rFont val="Segoe UI"/>
            <family val="2"/>
          </rPr>
          <t xml:space="preserve">Considerada Aumento do TPS.
Reaproveitado 1.000 m² do TPS existente
</t>
        </r>
      </text>
    </comment>
    <comment ref="AC10" authorId="0" shapeId="0" xr:uid="{4AA67F15-D78E-44C2-899F-FA57606AD92B}">
      <text>
        <r>
          <rPr>
            <b/>
            <sz val="9"/>
            <color indexed="81"/>
            <rFont val="Segoe UI"/>
            <family val="2"/>
          </rPr>
          <t>Considerando Aumento do estacionamento de veículos, aproveitando 360 m² do estacionamento existente</t>
        </r>
      </text>
    </comment>
    <comment ref="AD10" authorId="0" shapeId="0" xr:uid="{BCC9478C-6141-426F-8B49-3FF821439042}">
      <text>
        <r>
          <rPr>
            <b/>
            <sz val="9"/>
            <color indexed="81"/>
            <rFont val="Segoe UI"/>
            <family val="2"/>
          </rPr>
          <t>Luzes de borda de PTR e Fim de pista</t>
        </r>
      </text>
    </comment>
    <comment ref="X11" authorId="0" shapeId="0" xr:uid="{4DFFB758-929A-4351-9135-C73ED4546C10}">
      <text>
        <r>
          <rPr>
            <b/>
            <sz val="9"/>
            <color indexed="81"/>
            <rFont val="Segoe UI"/>
            <family val="2"/>
          </rPr>
          <t>Aproveitamento da PTR existente</t>
        </r>
      </text>
    </comment>
    <comment ref="Y11" authorId="0" shapeId="0" xr:uid="{77FE4AD1-0BB5-4AC5-9F48-21D4876DCDB3}">
      <text>
        <r>
          <rPr>
            <b/>
            <sz val="9"/>
            <color indexed="81"/>
            <rFont val="Segoe UI"/>
            <family val="2"/>
          </rPr>
          <t>Considerando reaproveitamento de 5.040 m² de pátio existente</t>
        </r>
      </text>
    </comment>
    <comment ref="AA11" authorId="0" shapeId="0" xr:uid="{C443C540-5F63-453E-8982-A8212137F80E}">
      <text>
        <r>
          <rPr>
            <b/>
            <sz val="9"/>
            <color indexed="81"/>
            <rFont val="Segoe UI"/>
            <family val="2"/>
          </rPr>
          <t xml:space="preserve">Considerada a construção de novo TPS.
</t>
        </r>
      </text>
    </comment>
    <comment ref="AC11" authorId="0" shapeId="0" xr:uid="{2C856464-241D-4499-A8C3-259C8435C001}">
      <text>
        <r>
          <rPr>
            <b/>
            <sz val="9"/>
            <color indexed="81"/>
            <rFont val="Segoe UI"/>
            <family val="2"/>
          </rPr>
          <t xml:space="preserve">Considerada a Construção de novo estacionamento de veículos
</t>
        </r>
      </text>
    </comment>
    <comment ref="Y12" authorId="0" shapeId="0" xr:uid="{700EECD0-A32E-412C-B373-BD3E6BA3639C}">
      <text>
        <r>
          <rPr>
            <b/>
            <sz val="9"/>
            <color indexed="81"/>
            <rFont val="Segoe UI"/>
            <family val="2"/>
          </rPr>
          <t>Considerando área aproveitável do PAT AVG para PAT AR.
Atualização do PCN</t>
        </r>
      </text>
    </comment>
    <comment ref="AA12" authorId="0" shapeId="0" xr:uid="{EB800A68-E76E-41E0-980D-890EA8E2E437}">
      <text>
        <r>
          <rPr>
            <b/>
            <sz val="9"/>
            <color indexed="81"/>
            <rFont val="Segoe UI"/>
            <family val="2"/>
          </rPr>
          <t xml:space="preserve">Considerada Aumento do TPS.
Reaproveitado 86 m² do TPS existente
</t>
        </r>
      </text>
    </comment>
    <comment ref="AC12" authorId="0" shapeId="0" xr:uid="{8B225985-262B-405E-ADE5-3C3434B52099}">
      <text>
        <r>
          <rPr>
            <b/>
            <sz val="9"/>
            <color indexed="81"/>
            <rFont val="Segoe UI"/>
            <family val="2"/>
          </rPr>
          <t xml:space="preserve">Considerada a Construção de novo estacionamento de veículos
</t>
        </r>
      </text>
    </comment>
    <comment ref="V13" authorId="0" shapeId="0" xr:uid="{C5A36AFD-8D39-4F20-A565-45BFD4BA05C4}">
      <text>
        <r>
          <rPr>
            <b/>
            <sz val="9"/>
            <color indexed="81"/>
            <rFont val="Segoe UI"/>
            <family val="2"/>
          </rPr>
          <t>Identificado RESA existente.</t>
        </r>
      </text>
    </comment>
    <comment ref="X13" authorId="0" shapeId="0" xr:uid="{8C3E8456-6AB5-472D-816A-DCF09C6B4824}">
      <text>
        <r>
          <rPr>
            <b/>
            <sz val="9"/>
            <color indexed="81"/>
            <rFont val="Segoe UI"/>
            <family val="2"/>
          </rPr>
          <t>Considerando nova PTR</t>
        </r>
      </text>
    </comment>
    <comment ref="Y13" authorId="0" shapeId="0" xr:uid="{80EA3642-9E42-43D5-B9F3-CEB19B7E246C}">
      <text>
        <r>
          <rPr>
            <b/>
            <sz val="9"/>
            <color indexed="81"/>
            <rFont val="Segoe UI"/>
            <family val="2"/>
          </rPr>
          <t>Considerando Novo Pátio AV Comercial e reaproveitamento de 5.808 m² de pátio existente AVG</t>
        </r>
      </text>
    </comment>
    <comment ref="AA13" authorId="0" shapeId="0" xr:uid="{1FA3B220-6296-4770-BCD5-F455925739D8}">
      <text>
        <r>
          <rPr>
            <b/>
            <sz val="9"/>
            <color indexed="81"/>
            <rFont val="Segoe UI"/>
            <family val="2"/>
          </rPr>
          <t xml:space="preserve">Considerada a construção de novo TPS.
</t>
        </r>
      </text>
    </comment>
    <comment ref="AC13" authorId="0" shapeId="0" xr:uid="{CDD63FCE-79D0-4CF5-BD6C-C10B36B203B8}">
      <text>
        <r>
          <rPr>
            <b/>
            <sz val="9"/>
            <color indexed="81"/>
            <rFont val="Segoe UI"/>
            <family val="2"/>
          </rPr>
          <t xml:space="preserve">Considerada a Construção de novo estacionamento de veículos
</t>
        </r>
      </text>
    </comment>
    <comment ref="Y14" authorId="0" shapeId="0" xr:uid="{D2EF8793-5828-4306-8E04-F0313A565CCC}">
      <text>
        <r>
          <rPr>
            <b/>
            <sz val="9"/>
            <color indexed="81"/>
            <rFont val="Segoe UI"/>
            <family val="2"/>
          </rPr>
          <t>Considerando reaproveitamento de 4.702 m² de pátio existente</t>
        </r>
      </text>
    </comment>
    <comment ref="AA14" authorId="0" shapeId="0" xr:uid="{B3E2A524-0D92-4662-B13C-9EFD9261BDF0}">
      <text>
        <r>
          <rPr>
            <b/>
            <sz val="9"/>
            <color indexed="81"/>
            <rFont val="Segoe UI"/>
            <family val="2"/>
          </rPr>
          <t>Considerada Aumento do TPS.
Reaproveitado 89 m² do TPS existente</t>
        </r>
      </text>
    </comment>
    <comment ref="AC14" authorId="0" shapeId="0" xr:uid="{E98DDC7E-A92F-48BE-9490-830E42096BE4}">
      <text>
        <r>
          <rPr>
            <b/>
            <sz val="9"/>
            <color indexed="81"/>
            <rFont val="Segoe UI"/>
            <family val="2"/>
          </rPr>
          <t xml:space="preserve">Considerada a Construção de novo estacionamento de veículos
</t>
        </r>
      </text>
    </comment>
    <comment ref="X15" authorId="0" shapeId="0" xr:uid="{2CD74060-A91A-42AF-BA17-5F5516CF9FF1}">
      <text>
        <r>
          <rPr>
            <b/>
            <sz val="9"/>
            <color indexed="81"/>
            <rFont val="Segoe UI"/>
            <family val="2"/>
          </rPr>
          <t>Considerando aumento da PTR</t>
        </r>
      </text>
    </comment>
    <comment ref="Y15" authorId="0" shapeId="0" xr:uid="{FC700990-6B60-4BB6-9F29-876B019E2D89}">
      <text>
        <r>
          <rPr>
            <b/>
            <sz val="9"/>
            <color indexed="81"/>
            <rFont val="Segoe UI"/>
            <family val="2"/>
          </rPr>
          <t>Considerando necessidade de novo pátio para se adequar a distância de segurança entre-eixos</t>
        </r>
      </text>
    </comment>
    <comment ref="AA15" authorId="0" shapeId="0" xr:uid="{70761404-76AC-4AF1-8524-B39E8566AA90}">
      <text>
        <r>
          <rPr>
            <b/>
            <sz val="9"/>
            <color indexed="81"/>
            <rFont val="Segoe UI"/>
            <family val="2"/>
          </rPr>
          <t xml:space="preserve">Considerada a construção de novo TPS.
</t>
        </r>
      </text>
    </comment>
    <comment ref="AC15" authorId="0" shapeId="0" xr:uid="{4DC555B4-1C84-4338-B476-DF8D0ACFB39D}">
      <text>
        <r>
          <rPr>
            <b/>
            <sz val="9"/>
            <color indexed="81"/>
            <rFont val="Segoe UI"/>
            <family val="2"/>
          </rPr>
          <t xml:space="preserve">Considerada a Construção de novo estacionamento de veículos
</t>
        </r>
      </text>
    </comment>
    <comment ref="AD15" authorId="0" shapeId="0" xr:uid="{95F77C3F-8E1E-4070-8039-EF936A58495F}">
      <text>
        <r>
          <rPr>
            <b/>
            <sz val="9"/>
            <color indexed="81"/>
            <rFont val="Segoe UI"/>
            <family val="2"/>
          </rPr>
          <t>Luzes de borda de PTR e Fim de pista</t>
        </r>
      </text>
    </comment>
    <comment ref="V16" authorId="0" shapeId="0" xr:uid="{6552A86B-C1A6-4E96-A97E-00573F8A0656}">
      <text>
        <r>
          <rPr>
            <b/>
            <sz val="9"/>
            <color indexed="81"/>
            <rFont val="Segoe UI"/>
            <family val="2"/>
          </rPr>
          <t>Identificado RESA existente.</t>
        </r>
      </text>
    </comment>
    <comment ref="X16" authorId="0" shapeId="0" xr:uid="{26D2D58C-8AC7-42CB-832A-D5E76FAC4194}">
      <text>
        <r>
          <rPr>
            <b/>
            <sz val="9"/>
            <color indexed="81"/>
            <rFont val="Segoe UI"/>
            <family val="2"/>
          </rPr>
          <t>Adequação ao PCN</t>
        </r>
      </text>
    </comment>
    <comment ref="Y16" authorId="0" shapeId="0" xr:uid="{15FDB0A6-C723-4640-BD0C-B26ABA0ACFF4}">
      <text>
        <r>
          <rPr>
            <b/>
            <sz val="9"/>
            <color indexed="81"/>
            <rFont val="Segoe UI"/>
            <family val="2"/>
          </rPr>
          <t>Considerando reaproveitamento de  10.167 m² de pátio existente; Adequação de PCN</t>
        </r>
      </text>
    </comment>
    <comment ref="AA16" authorId="0" shapeId="0" xr:uid="{E3E79C35-407F-49CB-BAC8-8E3E2BF398F9}">
      <text>
        <r>
          <rPr>
            <b/>
            <sz val="9"/>
            <color indexed="81"/>
            <rFont val="Segoe UI"/>
            <family val="2"/>
          </rPr>
          <t>Considerada Aumento do TPS.
Reaproveitado 670 m² do TPS existente</t>
        </r>
      </text>
    </comment>
    <comment ref="AC16" authorId="0" shapeId="0" xr:uid="{75CEB848-B98E-423A-B40E-1B6296A5AC38}">
      <text>
        <r>
          <rPr>
            <b/>
            <sz val="9"/>
            <color indexed="81"/>
            <rFont val="Segoe UI"/>
            <family val="2"/>
          </rPr>
          <t>Considerando Aumento do estacionamento de veículos, aproveitando 964 m² do estacionamento existente</t>
        </r>
      </text>
    </comment>
    <comment ref="AD16" authorId="0" shapeId="0" xr:uid="{EEEBFA73-C47D-4256-B9FF-7D1FAF34824C}">
      <text>
        <r>
          <rPr>
            <b/>
            <sz val="9"/>
            <color indexed="81"/>
            <rFont val="Segoe UI"/>
            <family val="2"/>
          </rPr>
          <t>Luzes de borda de PTR e Fim de pista</t>
        </r>
      </text>
    </comment>
    <comment ref="V17" authorId="0" shapeId="0" xr:uid="{55E92BC0-4D6C-463D-BFCC-0720DA794AF3}">
      <text>
        <r>
          <rPr>
            <b/>
            <sz val="9"/>
            <color indexed="81"/>
            <rFont val="Segoe UI"/>
            <family val="2"/>
          </rPr>
          <t>Identificado RESA existente.</t>
        </r>
      </text>
    </comment>
    <comment ref="X17" authorId="0" shapeId="0" xr:uid="{D7D207E7-FE5A-4360-9506-9BFD484BE6D1}">
      <text>
        <r>
          <rPr>
            <b/>
            <sz val="9"/>
            <color indexed="81"/>
            <rFont val="Segoe UI"/>
            <family val="2"/>
          </rPr>
          <t>Considerando alargamento da PTR</t>
        </r>
      </text>
    </comment>
    <comment ref="Y17" authorId="0" shapeId="0" xr:uid="{D97D607E-6D3A-42F0-A85E-FF508368FAE7}">
      <text>
        <r>
          <rPr>
            <b/>
            <sz val="9"/>
            <color indexed="81"/>
            <rFont val="Segoe UI"/>
            <family val="2"/>
          </rPr>
          <t>Considerando reaproveitamento de 15.100 m² de pátio existente</t>
        </r>
      </text>
    </comment>
    <comment ref="AA17" authorId="0" shapeId="0" xr:uid="{5C57506F-3C59-41BB-8ABB-91304E825DE4}">
      <text>
        <r>
          <rPr>
            <b/>
            <sz val="9"/>
            <color indexed="81"/>
            <rFont val="Segoe UI"/>
            <family val="2"/>
          </rPr>
          <t>Considerada Aumento do TPS.
Reaproveitado 1700 m² do TPS existente</t>
        </r>
      </text>
    </comment>
    <comment ref="AC17" authorId="0" shapeId="0" xr:uid="{CF647E6F-11EA-48E9-BDA8-DC91C227571F}">
      <text>
        <r>
          <rPr>
            <b/>
            <sz val="9"/>
            <color indexed="81"/>
            <rFont val="Segoe UI"/>
            <family val="2"/>
          </rPr>
          <t>Considerando Aumento do estacionamento de veículos, aproveitando 3.800 m² do estacionamento existente</t>
        </r>
      </text>
    </comment>
    <comment ref="Y18" authorId="0" shapeId="0" xr:uid="{B327B39E-842D-4A80-A90E-7C684528F370}">
      <text>
        <r>
          <rPr>
            <b/>
            <sz val="9"/>
            <color indexed="81"/>
            <rFont val="Segoe UI"/>
            <family val="2"/>
          </rPr>
          <t>Considerando reaproveitamento de 11.700 m² de pátio existente</t>
        </r>
      </text>
    </comment>
    <comment ref="AA18" authorId="0" shapeId="0" xr:uid="{592DAF52-9D1D-4DB7-A4E9-545398F99EAD}">
      <text>
        <r>
          <rPr>
            <b/>
            <sz val="9"/>
            <color indexed="81"/>
            <rFont val="Segoe UI"/>
            <family val="2"/>
          </rPr>
          <t>Considerada Aumento do TPS.
Reaproveitado 800 m² do TPS existente</t>
        </r>
      </text>
    </comment>
    <comment ref="AC18" authorId="0" shapeId="0" xr:uid="{EE073746-9A86-48B7-A3C1-DBB273D603BB}">
      <text>
        <r>
          <rPr>
            <b/>
            <sz val="9"/>
            <color indexed="81"/>
            <rFont val="Segoe UI"/>
            <family val="2"/>
          </rPr>
          <t>Considerando Aumento do estacionamento de veículos, aproveitando 2.100 m² do estacionamento existente</t>
        </r>
      </text>
    </comment>
    <comment ref="AD18" authorId="0" shapeId="0" xr:uid="{374613F7-E695-43F1-87DD-5511B55B2991}">
      <text>
        <r>
          <rPr>
            <b/>
            <sz val="9"/>
            <color indexed="81"/>
            <rFont val="Segoe UI"/>
            <family val="2"/>
          </rPr>
          <t>Luzes de pista para acompanhar o aumento de PPd previsto</t>
        </r>
      </text>
    </comment>
    <comment ref="X19" authorId="0" shapeId="0" xr:uid="{8FFACF11-AE15-4F8A-B959-45278E2E7DA5}">
      <text>
        <r>
          <rPr>
            <b/>
            <sz val="9"/>
            <color indexed="81"/>
            <rFont val="Segoe UI"/>
            <family val="2"/>
          </rPr>
          <t>Considerando alargamento da PTR</t>
        </r>
      </text>
    </comment>
    <comment ref="Y19" authorId="0" shapeId="0" xr:uid="{F68CBBAB-D0B6-4810-9C02-41B0A76DADFE}">
      <text>
        <r>
          <rPr>
            <b/>
            <sz val="9"/>
            <color indexed="81"/>
            <rFont val="Segoe UI"/>
            <family val="2"/>
          </rPr>
          <t>Considerando reaproveitamento de 3.665 m² de pátio existente</t>
        </r>
      </text>
    </comment>
    <comment ref="AA19" authorId="0" shapeId="0" xr:uid="{D62B309C-26C7-4676-87A5-882B20BE6776}">
      <text>
        <r>
          <rPr>
            <b/>
            <sz val="9"/>
            <color indexed="81"/>
            <rFont val="Segoe UI"/>
            <family val="2"/>
          </rPr>
          <t xml:space="preserve">Considerada a construção de novo TPS.
</t>
        </r>
      </text>
    </comment>
    <comment ref="AC19" authorId="0" shapeId="0" xr:uid="{403DF24B-551E-4C2A-ADF1-062CB7FA042C}">
      <text>
        <r>
          <rPr>
            <b/>
            <sz val="9"/>
            <color indexed="81"/>
            <rFont val="Segoe UI"/>
            <family val="2"/>
          </rPr>
          <t xml:space="preserve">Considerada a Construção de novo estacionamento de veículos
</t>
        </r>
      </text>
    </comment>
    <comment ref="V20" authorId="0" shapeId="0" xr:uid="{16D11462-0E44-4430-BE76-88350852CD26}">
      <text>
        <r>
          <rPr>
            <b/>
            <sz val="9"/>
            <color indexed="81"/>
            <rFont val="Segoe UI"/>
            <family val="2"/>
          </rPr>
          <t>Identificado RESA existente.</t>
        </r>
      </text>
    </comment>
    <comment ref="Y20" authorId="0" shapeId="0" xr:uid="{8CED128E-E6AD-4DE8-A389-B0871A24AF39}">
      <text>
        <r>
          <rPr>
            <b/>
            <sz val="9"/>
            <color indexed="81"/>
            <rFont val="Segoe UI"/>
            <family val="2"/>
          </rPr>
          <t>Considerando reaproveitamento de 8.500
 m² de pátio existente</t>
        </r>
      </text>
    </comment>
    <comment ref="AA20" authorId="0" shapeId="0" xr:uid="{F54147E4-680B-4658-B309-63EAC3EA676B}">
      <text>
        <r>
          <rPr>
            <b/>
            <sz val="9"/>
            <color indexed="81"/>
            <rFont val="Segoe UI"/>
            <family val="2"/>
          </rPr>
          <t>Considerada Aumento do TPS.
Reaproveitado 1373 m² do TPS existente</t>
        </r>
      </text>
    </comment>
    <comment ref="AC20" authorId="0" shapeId="0" xr:uid="{FC3530AC-56C3-4A09-BD0C-30EFC810EA5F}">
      <text>
        <r>
          <rPr>
            <b/>
            <sz val="9"/>
            <color indexed="81"/>
            <rFont val="Segoe UI"/>
            <family val="2"/>
          </rPr>
          <t>Considerando Aumento do estacionamento de veículos, aproveitando 1.200 m² do estacionamento existente</t>
        </r>
      </text>
    </comment>
    <comment ref="X21" authorId="0" shapeId="0" xr:uid="{CB4C4A6D-A29D-4F2E-9B0C-BBEF8B1CAA1B}">
      <text>
        <r>
          <rPr>
            <b/>
            <sz val="9"/>
            <color indexed="81"/>
            <rFont val="Segoe UI"/>
            <family val="2"/>
          </rPr>
          <t>Considerando aumento da PTR</t>
        </r>
      </text>
    </comment>
    <comment ref="Y21" authorId="0" shapeId="0" xr:uid="{87AB3C24-DB5F-4669-A49E-EA93D6E6E404}">
      <text>
        <r>
          <rPr>
            <b/>
            <sz val="9"/>
            <color indexed="81"/>
            <rFont val="Segoe UI"/>
            <family val="2"/>
          </rPr>
          <t>Considerando reaproveitamento de 9.076 m² de pátio existente</t>
        </r>
      </text>
    </comment>
    <comment ref="AD21" authorId="0" shapeId="0" xr:uid="{0D5BDFD1-8A09-449E-B07A-2FF5E8CCEE37}">
      <text>
        <r>
          <rPr>
            <b/>
            <sz val="9"/>
            <color indexed="81"/>
            <rFont val="Segoe UI"/>
            <family val="2"/>
          </rPr>
          <t>Luzes de borda de PTR e Fim de pista</t>
        </r>
      </text>
    </comment>
    <comment ref="X22" authorId="0" shapeId="0" xr:uid="{3A997A5A-DCB6-477D-922E-F69360596C10}">
      <text>
        <r>
          <rPr>
            <b/>
            <sz val="9"/>
            <color indexed="81"/>
            <rFont val="Segoe UI"/>
            <family val="2"/>
          </rPr>
          <t>Considerando alargamento da PTR</t>
        </r>
      </text>
    </comment>
    <comment ref="Y22" authorId="0" shapeId="0" xr:uid="{2AD2F263-6B11-421A-B0A9-FA61851A6003}">
      <text>
        <r>
          <rPr>
            <b/>
            <sz val="9"/>
            <color indexed="81"/>
            <rFont val="Segoe UI"/>
            <family val="2"/>
          </rPr>
          <t>Considerando reaproveitamento de 3.665 m² de pátio existente</t>
        </r>
      </text>
    </comment>
    <comment ref="AA22" authorId="0" shapeId="0" xr:uid="{F72B5D69-3765-4AF9-A4EE-5EED2B2B4F67}">
      <text>
        <r>
          <rPr>
            <b/>
            <sz val="9"/>
            <color indexed="81"/>
            <rFont val="Segoe UI"/>
            <family val="2"/>
          </rPr>
          <t>Considerada Aumento do TPS.
Reaproveitado 845 m² do TPS existente</t>
        </r>
      </text>
    </comment>
    <comment ref="AC22" authorId="0" shapeId="0" xr:uid="{D7574B30-02E2-4967-8397-BA3F2D2F7823}">
      <text>
        <r>
          <rPr>
            <b/>
            <sz val="9"/>
            <color indexed="81"/>
            <rFont val="Segoe UI"/>
            <family val="2"/>
          </rPr>
          <t>Considerando Aumento do estacionamento de veículos, aproveitando 415 m² do estacionamento existente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Gomes Figueredo</author>
  </authors>
  <commentList>
    <comment ref="F3" authorId="0" shapeId="0" xr:uid="{1FA8C35F-3D10-47E7-9D28-02CAD344C118}">
      <text>
        <r>
          <rPr>
            <sz val="9"/>
            <color indexed="81"/>
            <rFont val="Segoe UI"/>
            <family val="2"/>
          </rPr>
          <t xml:space="preserve">
Esse valor advém do tamanho elevado da metragem do TPS do aeroporto e ao consequente alto número de funcionários
Valor atualizado devido correção na projeção de demanda para o aeroporto</t>
        </r>
      </text>
    </comment>
    <comment ref="F22" authorId="0" shapeId="0" xr:uid="{E52ECCE3-5121-4575-B999-DB9FE2B7D10B}">
      <text>
        <r>
          <rPr>
            <sz val="9"/>
            <color indexed="81"/>
            <rFont val="Segoe UI"/>
            <family val="2"/>
          </rPr>
          <t xml:space="preserve">
Esse valor é devido à adição de sescinc e seu pessoal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Gomes Figueredo</author>
  </authors>
  <commentList>
    <comment ref="F3" authorId="0" shapeId="0" xr:uid="{4C1A8ECC-F6DF-4245-AB3C-1855D3591457}">
      <text>
        <r>
          <rPr>
            <sz val="9"/>
            <color indexed="81"/>
            <rFont val="Segoe UI"/>
            <family val="2"/>
          </rPr>
          <t xml:space="preserve">
Esse valor advém do tamanho elevado da metragem do TPS do aeroporto e ao consequente alto número de funcionários
Valor atualizado devido correção na projeção de demanda para o aeroporto</t>
        </r>
      </text>
    </comment>
    <comment ref="F22" authorId="0" shapeId="0" xr:uid="{7398BCE1-AE81-4F42-B202-E4E0CCED8A1A}">
      <text>
        <r>
          <rPr>
            <sz val="9"/>
            <color indexed="81"/>
            <rFont val="Segoe UI"/>
            <family val="2"/>
          </rPr>
          <t xml:space="preserve">
Esse valor é devido à adição de sescinc e seu pessoal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Gomes Figueredo</author>
  </authors>
  <commentList>
    <comment ref="F3" authorId="0" shapeId="0" xr:uid="{FC30A260-DC25-4EAD-B9A8-E61ECD88BEA3}">
      <text>
        <r>
          <rPr>
            <sz val="9"/>
            <color indexed="81"/>
            <rFont val="Segoe UI"/>
            <family val="2"/>
          </rPr>
          <t xml:space="preserve">
Esse valor advém do tamanho elevado da metragem do TPS do aeroporto e ao consequente alto número de funcionários
Valor atualizado devido correção na projeção de demanda para o aeroporto</t>
        </r>
      </text>
    </comment>
    <comment ref="F22" authorId="0" shapeId="0" xr:uid="{97951776-5E34-45D1-BC26-9BFCAA55513C}">
      <text>
        <r>
          <rPr>
            <sz val="9"/>
            <color indexed="81"/>
            <rFont val="Segoe UI"/>
            <family val="2"/>
          </rPr>
          <t xml:space="preserve">
Esse valor é devido à adição de sescinc e seu pessoal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Cardoso Cunha</author>
  </authors>
  <commentList>
    <comment ref="AC2" authorId="0" shapeId="0" xr:uid="{4DAA2466-7087-48EF-A0A3-1C9B7920828C}">
      <text>
        <r>
          <rPr>
            <b/>
            <sz val="9"/>
            <color indexed="81"/>
            <rFont val="Segoe UI"/>
            <family val="2"/>
          </rPr>
          <t>A leitura das observações visuais aqui descritas podem ser acompanhadas abrindo o arquivo KMZ dos aeroportos do AmpliAR "KMZ_AmpliAR_prioritarios"</t>
        </r>
      </text>
    </comment>
  </commentList>
</comments>
</file>

<file path=xl/sharedStrings.xml><?xml version="1.0" encoding="utf-8"?>
<sst xmlns="http://schemas.openxmlformats.org/spreadsheetml/2006/main" count="4375" uniqueCount="1268">
  <si>
    <t>ICAO</t>
  </si>
  <si>
    <t>Nome do Aeroporto</t>
  </si>
  <si>
    <t>Chave</t>
  </si>
  <si>
    <t>Município</t>
  </si>
  <si>
    <t>UF</t>
  </si>
  <si>
    <t>Cenário de Simulação</t>
  </si>
  <si>
    <t>Faixa Atual</t>
  </si>
  <si>
    <t>Ano - Projeção PAX</t>
  </si>
  <si>
    <t>Faixa - Projeção PAX</t>
  </si>
  <si>
    <t>Ano</t>
  </si>
  <si>
    <t>Pista(s) de pouso e decolagem</t>
  </si>
  <si>
    <t>RESA</t>
  </si>
  <si>
    <t>Faixa(s) de pista</t>
  </si>
  <si>
    <t>Pista(s) de táxi</t>
  </si>
  <si>
    <t>Pátio de aeronaves</t>
  </si>
  <si>
    <t>SESCINC</t>
  </si>
  <si>
    <t>TPS</t>
  </si>
  <si>
    <t>Terminal de cargas</t>
  </si>
  <si>
    <t>Estacionamento de veículos</t>
  </si>
  <si>
    <t>Equipamentos de auxílio à navegação aérea</t>
  </si>
  <si>
    <t>Total</t>
  </si>
  <si>
    <t>Gatilho 3</t>
  </si>
  <si>
    <t>Gatilho 2</t>
  </si>
  <si>
    <t>Gatilho 1</t>
  </si>
  <si>
    <t>PA</t>
  </si>
  <si>
    <t>RO</t>
  </si>
  <si>
    <t>MA</t>
  </si>
  <si>
    <t>TO</t>
  </si>
  <si>
    <t>ü</t>
  </si>
  <si>
    <t>Adequação</t>
  </si>
  <si>
    <t>AM</t>
  </si>
  <si>
    <t>PE</t>
  </si>
  <si>
    <t>MT</t>
  </si>
  <si>
    <t>PI</t>
  </si>
  <si>
    <t>BA</t>
  </si>
  <si>
    <t>AC</t>
  </si>
  <si>
    <t>SBIH</t>
  </si>
  <si>
    <t>ITAITUBA</t>
  </si>
  <si>
    <t>SBIH150360</t>
  </si>
  <si>
    <t>SBLE</t>
  </si>
  <si>
    <t>HORÁCIO DE MATTOS</t>
  </si>
  <si>
    <t>SBLE291930</t>
  </si>
  <si>
    <t>LENÇÓIS</t>
  </si>
  <si>
    <t>SWBC</t>
  </si>
  <si>
    <t>BARCELOS</t>
  </si>
  <si>
    <t>SWBC130040</t>
  </si>
  <si>
    <t>SBEK</t>
  </si>
  <si>
    <t>SBIC</t>
  </si>
  <si>
    <t>ITACOATIARA</t>
  </si>
  <si>
    <t>SBIC130190</t>
  </si>
  <si>
    <t>SBTK</t>
  </si>
  <si>
    <t>TARAUACÁ</t>
  </si>
  <si>
    <t>SBTK120060</t>
  </si>
  <si>
    <t>SBUF</t>
  </si>
  <si>
    <t>PAULO AFONSO</t>
  </si>
  <si>
    <t>SBUF292400</t>
  </si>
  <si>
    <t>SBVH</t>
  </si>
  <si>
    <t>VILHENA</t>
  </si>
  <si>
    <t>SBVH110030</t>
  </si>
  <si>
    <t>SDCG</t>
  </si>
  <si>
    <t>SJNP</t>
  </si>
  <si>
    <t>SNBI</t>
  </si>
  <si>
    <t>SNBS</t>
  </si>
  <si>
    <t>SNGI</t>
  </si>
  <si>
    <t>AERÓDROMO DE GUANAMBI</t>
  </si>
  <si>
    <t>SNGI291170</t>
  </si>
  <si>
    <t>GUANAMBI</t>
  </si>
  <si>
    <t>SNHS</t>
  </si>
  <si>
    <t>SANTA MAGALHÃES</t>
  </si>
  <si>
    <t>SNHS261390</t>
  </si>
  <si>
    <t>SERRA TALHADA</t>
  </si>
  <si>
    <t>SSKW</t>
  </si>
  <si>
    <t>CACOAL</t>
  </si>
  <si>
    <t>SSKW110004</t>
  </si>
  <si>
    <t>SDP8</t>
  </si>
  <si>
    <t>SWCQ</t>
  </si>
  <si>
    <t>SWGN</t>
  </si>
  <si>
    <t>ARAGUAÍNA</t>
  </si>
  <si>
    <t>SWGN170210</t>
  </si>
  <si>
    <t>SWII</t>
  </si>
  <si>
    <t>SWKQ</t>
  </si>
  <si>
    <t>SERRA DA CAPIVARA/SÃO RAIMUNDO NONATO</t>
  </si>
  <si>
    <t>SWKQ221060</t>
  </si>
  <si>
    <t>SÃO RAIMUNDO NONATO</t>
  </si>
  <si>
    <t>SWOB</t>
  </si>
  <si>
    <t>SWPI</t>
  </si>
  <si>
    <t>PARINTINS</t>
  </si>
  <si>
    <t>SWPI130340</t>
  </si>
  <si>
    <t>SWPY</t>
  </si>
  <si>
    <t>SWTP</t>
  </si>
  <si>
    <t>SWYN</t>
  </si>
  <si>
    <t>SDH2</t>
  </si>
  <si>
    <t>Nome do Aeródromo</t>
  </si>
  <si>
    <t>COD IB</t>
  </si>
  <si>
    <t>Cenário de Simulação - PAN</t>
  </si>
  <si>
    <t>AEROPORTO DE TARAUACÁ</t>
  </si>
  <si>
    <t>AEROPORTO DE VILHENA</t>
  </si>
  <si>
    <t>-</t>
  </si>
  <si>
    <t>AEROPORTO SANTA MAGALHÃES</t>
  </si>
  <si>
    <t>AEROPORTO DE CACOAL</t>
  </si>
  <si>
    <t>AEROPORTO DE ARAGUAÍNA</t>
  </si>
  <si>
    <t>AEROPORTO SERRA DA CAPIVARA</t>
  </si>
  <si>
    <t>Porto Alegre do Norte</t>
  </si>
  <si>
    <t>Receitas</t>
  </si>
  <si>
    <t>Custos</t>
  </si>
  <si>
    <t>Resultado</t>
  </si>
  <si>
    <t>Desemborrachamento</t>
  </si>
  <si>
    <t>Ano 1</t>
  </si>
  <si>
    <t>Ano 5</t>
  </si>
  <si>
    <t>Ano 8</t>
  </si>
  <si>
    <t>Ano 10</t>
  </si>
  <si>
    <t>Ano 15</t>
  </si>
  <si>
    <t>Ano 18</t>
  </si>
  <si>
    <t>Ano 20</t>
  </si>
  <si>
    <t>Ano 25</t>
  </si>
  <si>
    <t>Ano 28</t>
  </si>
  <si>
    <t>Farol rotativo</t>
  </si>
  <si>
    <t>Biruta iluminada</t>
  </si>
  <si>
    <t>EMS-3</t>
  </si>
  <si>
    <t>Amazônia Legal</t>
  </si>
  <si>
    <t>CAPEX</t>
  </si>
  <si>
    <t>TOTAL</t>
  </si>
  <si>
    <t>OPEX</t>
  </si>
  <si>
    <t>RECEITAS</t>
  </si>
  <si>
    <t>FLUXO DE CAIXA</t>
  </si>
  <si>
    <t>CO</t>
  </si>
  <si>
    <t>NE</t>
  </si>
  <si>
    <t>N</t>
  </si>
  <si>
    <t>SNSM</t>
  </si>
  <si>
    <t>SALINÓPOLIS</t>
  </si>
  <si>
    <t>SSRS</t>
  </si>
  <si>
    <t>BARREIRINHAS</t>
  </si>
  <si>
    <t>PORTO ALEGRE DO NORTE</t>
  </si>
  <si>
    <t>Região</t>
  </si>
  <si>
    <t>Lat (dec)</t>
  </si>
  <si>
    <t>Long (dec)</t>
  </si>
  <si>
    <t>SSRS210170</t>
  </si>
  <si>
    <t>SDH2510677</t>
  </si>
  <si>
    <t>PAX 2024</t>
  </si>
  <si>
    <t>ATALHO PARA AS ABAS DE RECEITAS, CAPEX E OPEX COMPILADAS</t>
  </si>
  <si>
    <t>ATALHO PARA AS ABAS DA BASE DE DADOS DO PAN QUE FORAM UTILIZADAS PARA O CÁLCULO</t>
  </si>
  <si>
    <t>BASE PAN - CAPEX'!A1</t>
  </si>
  <si>
    <t>BASE PAN - OPEX'!A1</t>
  </si>
  <si>
    <t>BASE PAN - RECEITAS'!A1</t>
  </si>
  <si>
    <t>BASE PAN - CAPEX - 1º ANO'!A1</t>
  </si>
  <si>
    <t>Projeção - Demanda PAX'!A1</t>
  </si>
  <si>
    <t>Introdução!A1</t>
  </si>
  <si>
    <t>PRAZO REMANESCENTE DOS CONTRATOS VIGENTES (ANOS)</t>
  </si>
  <si>
    <t>OPEX 15 anos</t>
  </si>
  <si>
    <t>RECEITAS 15 anos</t>
  </si>
  <si>
    <t>Multiplicador</t>
  </si>
  <si>
    <t>NE e CO</t>
  </si>
  <si>
    <t>Multiplicador (Racional)</t>
  </si>
  <si>
    <t>Multiplicador (CO e NE):</t>
  </si>
  <si>
    <t>SNAB</t>
  </si>
  <si>
    <t>ARARIPINA</t>
  </si>
  <si>
    <t>SNAB260110</t>
  </si>
  <si>
    <t>SNGN</t>
  </si>
  <si>
    <t>GARANHUNS</t>
  </si>
  <si>
    <t>SNGN260600</t>
  </si>
  <si>
    <t>TOTAL ACUMULADO</t>
  </si>
  <si>
    <t>CAPEX (R$)</t>
  </si>
  <si>
    <t>CAPEX(EVOLUÇÃO INFRA - m ou m²)</t>
  </si>
  <si>
    <t>Faixa de adequação</t>
  </si>
  <si>
    <t>Pista(s) de pouso e decolagem-Incremento necessário</t>
  </si>
  <si>
    <t>RESA-Incremento necessário</t>
  </si>
  <si>
    <t>Faixa(s) de pista-Incremento necessário</t>
  </si>
  <si>
    <t>Pista(s) de táxi-Incremento necessário</t>
  </si>
  <si>
    <t>Pátio de aeronaves-Incremento necessário</t>
  </si>
  <si>
    <t>SESCINC-Incremento necessário</t>
  </si>
  <si>
    <t>TPS-Incremento necessário</t>
  </si>
  <si>
    <t>Terminal de cargas-Incremento necessário</t>
  </si>
  <si>
    <t>Estacionamento de veículos-Incremento necessário</t>
  </si>
  <si>
    <t>Equipamentos de auxílio à navegação aérea-Incremento necessário</t>
  </si>
  <si>
    <t>Observação visual das intervenções</t>
  </si>
  <si>
    <t>Comparação com a entrega de JULHO/24</t>
  </si>
  <si>
    <t>AM0012_1301902</t>
  </si>
  <si>
    <t>Adequação-última faixa de evolução</t>
  </si>
  <si>
    <t>279 m ; Adequação do PCN</t>
  </si>
  <si>
    <t>RESA (90x60) nas duas cabeceiras</t>
  </si>
  <si>
    <t>Aumento de PPD e adequação do PCN; Aumento de PTR (alargamento); RESA (90x60) nas duas cabeceiras; Aumento de Pátio para se adequar a distância de segurança entre-eixos; Novo TPS para se adequar a distância de segurança entre-eixos; Novo estacionamento de veículos; Auxílios de navegação aérea (luzes de pista)</t>
  </si>
  <si>
    <t>O valor apresentado é MENOR em relação à Julho de 2024. Principais Motivos: Alinhamento com Anexo 4 da ANAC - Uso de 30m de largura de pista ao invés de 45m; Redução do custo de RESA para 60x90; Redução de custo de PTR de acesso ao Pátio; Redução da necessidade de Pátio (observação visual)</t>
  </si>
  <si>
    <t>PA0010_1503606</t>
  </si>
  <si>
    <t>99 m ; Adequação do PCN</t>
  </si>
  <si>
    <t>Aumento de PPD;  RESA (90x60) nas duas cabeceiras; Aumento de PTR; Novo Pátio, Novo TPS, Novo de estacionamento de veículos</t>
  </si>
  <si>
    <t xml:space="preserve">O valor apresentado é MENOR em relação à Julho de 2024. Principais Motivos: Alinhamento com Anexo 4 da ANAC - Uso de 30m de largura de pista ao invés de 45m; Redução do custo de RESA para 60x90; </t>
  </si>
  <si>
    <t>AC0004_1200609</t>
  </si>
  <si>
    <t>80x8 m ; Adequação do PCN</t>
  </si>
  <si>
    <t>Aumento de PPD;  RESA (90x60) nas duas cabeceiras; Aumento de PTR (alargamento); Aumento de Pátio, Aumento de TPS, Aumento de estacionamento de veículos</t>
  </si>
  <si>
    <t>O valor apresentado é MENOR em relação à Julho de 2024. Principais Motivos: Alinhamento com Anexo 4 da ANAC - Uso de 30m de largura de pista ao invés de 45m; Redução da Faixa de Pista</t>
  </si>
  <si>
    <t>RO0003_1100304</t>
  </si>
  <si>
    <t>Aumento de PTR (alargamento); RESA (90x60) nas duas cabeceiras; Aumento de Pátio, Aumento de TPS, Aumento de estacionamento de veículos</t>
  </si>
  <si>
    <t>O valor apresentado é MENOR em relação à Julho de 2024. Principais Motivos: Alinhamento com Anexo 4 da ANAC - Uso de 30m de largura de pista ao invés de 45m; Redução no custo de RESA; Redução da Faixa de Pista, Redução do custo com Estacionamento de veículos; Redução do custo com TPS</t>
  </si>
  <si>
    <t>PE0009_2601102</t>
  </si>
  <si>
    <t>RESA (30x30) em uma cabeceira</t>
  </si>
  <si>
    <t>RESA (30x30) em uma cabeceira; Aumento de TPS; Novo Estacionamento de veículos</t>
  </si>
  <si>
    <t>O valor apresentado é MAIOR em relação à Julho de 2024. Principais Motivos: Alinhamento com Anexo 4 da ANAC - Preparação dos aeroportos estratégicos para pelo menos faixa 0</t>
  </si>
  <si>
    <t>RO0004_1100049</t>
  </si>
  <si>
    <t>Adequação do PCN</t>
  </si>
  <si>
    <t>Aumento de Pátio; Aumento de TPS; Aumento de Estacionamento de veículos</t>
  </si>
  <si>
    <t>O valor apresentado é MENOR em relação à Julho de 2024. Principais Motivos:  Redução no custo de RESA; Redução do custo com TPS</t>
  </si>
  <si>
    <t>TO0002_1702109</t>
  </si>
  <si>
    <t>O valor apresentado é MENOR em relação à Julho de 2024. Principais Motivos: Alinhamento com Anexo 4 da ANAC - Uso de 30m de largura de pista ao invés de 45m; Redução no custo de RESA; Redução da Faixa de Pista; Redução do custo com Estacionamento de veículos</t>
  </si>
  <si>
    <t>BA0006_2919306</t>
  </si>
  <si>
    <t>RESA (90x60) nas duas cabeceiras; Aumento de Pátio; Aumento de TPS; Aumento de Estacionamento de veículos</t>
  </si>
  <si>
    <t>O valor apresentado é MENOR em relação à Julho de 2024. Principais Motivos: Alinhamento com Anexo 4 da ANAC - Uso de 30m de largura de pista ao invés de 45m; Redução no custo de RESA; Redução da Faixa de Pista; Redução de custo de PTR de acesso ao Pátio</t>
  </si>
  <si>
    <t>MT0662_5106778</t>
  </si>
  <si>
    <t>RESA (30x30) em uma cabeceira; Aumento de Faixa de Pista; Aumento de Pátio; Novo TPS; Novo Estacionamento de veículos</t>
  </si>
  <si>
    <t>PA0250_1506203</t>
  </si>
  <si>
    <t>199 m ; Adequação do PCN</t>
  </si>
  <si>
    <t>Aumento de PPD e adequação do PCN; Aumento de PTR (alargamento); Aumento de Pátio; Aumento de TPS; Aumento de Estacionamento de veículos; Auxílios de navegação aérea (luzes de pista)</t>
  </si>
  <si>
    <t>O valor apresentado é MENOR em relação à Julho de 2024. Principais Motivos: Alinhamento com Anexo 4 da ANAC - Uso de 30m de largura de pista ao invés de 45m; Sem custo de RESA; Redução de custo de PTR de acesso ao Pátio; Redução de Custo de Pátio</t>
  </si>
  <si>
    <t>AM0017_1300409</t>
  </si>
  <si>
    <t>RESA (90x60) nas duas cabeceiras; Aumento de PTR (alargamento); Aumento de Pátio; Aumento de TPS; Aumento de Estacionamento</t>
  </si>
  <si>
    <t>O valor apresentado é MENOR em relação à Julho de 2024. Principais Motivos: Alinhamento com Anexo 4 da ANAC - Uso de 30m de largura de pista ao invés de 45m; Redução no custo de RESA; Redução de custo de PTR de acesso ao Pátio; Redução de Custo de Pátio</t>
  </si>
  <si>
    <t>AM0006_1303403</t>
  </si>
  <si>
    <t>Adequação do PCN da PPD; RESA (90x60) nas duas cabeceiras; Aumento de PTR (alargamento); Aumento de Pátio; Aumento de TPS; Aumento de Estacionamento de veículos</t>
  </si>
  <si>
    <t>O valor apresentado é MENOR em relação à Julho de 2024. Principais Motivos: Alinhamento com Anexo 4 da ANAC - Uso de 30m de largura de pista ao invés de 45m; Redução no custo de RESA; Redução de custo de PTR de acesso ao Pátio; Redução de Custo de Pátio; Redução do Custo de TPS</t>
  </si>
  <si>
    <t>O valor apresentado é MAIOR em relação à Julho de 2024. Principais Motivos: Atualização de metragem e custos; Aumento de PTR (alargamento); Aumento de TPS; Aumento de Pátio</t>
  </si>
  <si>
    <t>Aumento de PPD e adequação do PCN; Nova PTR; Novo Pátio; Novo TPS TPS; Novo Estacionamento de veículos</t>
  </si>
  <si>
    <t>O valor apresentado é MENOR em relação à Julho de 2024. Principais Motivos: Alinhamento com Anexo 4 da ANAC - Uso de 30m de largura de pista ao invés de 45m; Redução no custo de RESA</t>
  </si>
  <si>
    <t>RESA (30x30) em uma cabeceira; Nova PTR; Aumento de Pátio; Aumento de TPS; Novo Estacionamento de veículos</t>
  </si>
  <si>
    <t>RESA (90x60) nas duas cabeceiras; Aumento de PTR; Novo Pátio; Novo TPS; Novo Estacionamento de veículos</t>
  </si>
  <si>
    <t>299 m ; Adequação do PCN</t>
  </si>
  <si>
    <t>Aumento de PPD e adequação do PCN; Aumento de Pátio; Aumento de TPS; aumento do Estacionamento de veículos; Auxílios de navegação aérea (luzes de pista)</t>
  </si>
  <si>
    <t>O valor apresentado é MENOR em relação à Julho de 2024. Principais Motivos: Alinhamento com Anexo 4 da ANAC - Uso de 30m de largura de pista ao invés de 45m; Redução no custo RESA; Redução no Custo de PTR; Redução no custo de Pátio; Redução no custo de TPS; Redução no custo de Estacionamento de veículos</t>
  </si>
  <si>
    <t>Aumento de PPD; RESA (90x60) nas duas cabeceiras; Aumento de PTR (alargamento); Aumento de Pátio, Aumento de TPS, Aumento de estacionamento de veículos</t>
  </si>
  <si>
    <t xml:space="preserve">O valor apresentado é MAIOR em relação à Julho de 2024. Principais Motivos: Atualização de metragem e custos; Aumento de PTR (alargamento); Aumento de Pátio; </t>
  </si>
  <si>
    <t>ADEQUAÇÃO</t>
  </si>
  <si>
    <t>Faixa</t>
  </si>
  <si>
    <t>Resultado com intervenção</t>
  </si>
  <si>
    <t>Manutenção - PPD</t>
  </si>
  <si>
    <t>Manutenção - Pátio</t>
  </si>
  <si>
    <t>Navegação aérea(R$)</t>
  </si>
  <si>
    <t>Nav Aerea (Especificação)</t>
  </si>
  <si>
    <t>AFIS</t>
  </si>
  <si>
    <t>TWR</t>
  </si>
  <si>
    <t>IAP</t>
  </si>
  <si>
    <t>Luzes laterais</t>
  </si>
  <si>
    <t>Luzes de cabeceira - XX</t>
  </si>
  <si>
    <t>Luzes de cabeceira - YY</t>
  </si>
  <si>
    <t>PAPI - Cabeceira XX</t>
  </si>
  <si>
    <t>PAPI - Cabeceira YY</t>
  </si>
  <si>
    <t>EMS-1</t>
  </si>
  <si>
    <t>EMS-2</t>
  </si>
  <si>
    <t>ILS - Cabeceira XX</t>
  </si>
  <si>
    <t>ILS - Cabeceira YY</t>
  </si>
  <si>
    <t>ALS - Cabeceira XX</t>
  </si>
  <si>
    <t>ALS - Cabeceira YY</t>
  </si>
  <si>
    <t>Ano 2</t>
  </si>
  <si>
    <t>Ano 4</t>
  </si>
  <si>
    <t>Ano 6</t>
  </si>
  <si>
    <t>Ano 12</t>
  </si>
  <si>
    <t>Ano 14</t>
  </si>
  <si>
    <t>Ano 16</t>
  </si>
  <si>
    <t>Ano 22</t>
  </si>
  <si>
    <t>Ano 24</t>
  </si>
  <si>
    <t>Ano 26</t>
  </si>
  <si>
    <t>Ano 30</t>
  </si>
  <si>
    <t>1) Resultado agregado dos cálculos de manutenção para PPD, Taxiway, Pátio, e Desemborrachamento, para os aeroportos do escopo do projeto AmpliAR</t>
  </si>
  <si>
    <t>Premissas das estimativas de investimento</t>
  </si>
  <si>
    <t>Ano da manutenção</t>
  </si>
  <si>
    <t>a) Ano da Manutenção para PPD e Taxi</t>
  </si>
  <si>
    <t>Tipo de manutenção (simulador)</t>
  </si>
  <si>
    <t xml:space="preserve">Descrição da manutenção </t>
  </si>
  <si>
    <t>5° ano / 8° ano / 15° ano / 18° ano / 25° ano / 28° ano</t>
  </si>
  <si>
    <t>Manutenção flexível 1</t>
  </si>
  <si>
    <t>Selagem de trincas</t>
  </si>
  <si>
    <t>1° ano / 10° ano / 20° ano</t>
  </si>
  <si>
    <t>Manutenção flexível 2</t>
  </si>
  <si>
    <t>Recapeamento asfáutico</t>
  </si>
  <si>
    <r>
      <t xml:space="preserve">1° ano / 20° ano - </t>
    </r>
    <r>
      <rPr>
        <i/>
        <sz val="11"/>
        <color theme="1"/>
        <rFont val="Aptos Narrow"/>
        <family val="2"/>
        <scheme val="minor"/>
      </rPr>
      <t>A depender do estado de pavimento informado</t>
    </r>
  </si>
  <si>
    <t>Manutenção flexível 3</t>
  </si>
  <si>
    <t>Reconstrução parcial</t>
  </si>
  <si>
    <t>b) Ano da Manutenção para Pátio</t>
  </si>
  <si>
    <t>5° ano / 8° ano / 10° ano /15° ano / 18° ano / 20° ano / 25° ano / 28° ano</t>
  </si>
  <si>
    <t>Manutenção rígido 1</t>
  </si>
  <si>
    <t>Selagem de trincas e resselagem de juntas</t>
  </si>
  <si>
    <t>1° ano</t>
  </si>
  <si>
    <t>Manutenção rígido 2</t>
  </si>
  <si>
    <t>Substituição de placas</t>
  </si>
  <si>
    <t>1) Consideração para as manutenções: Quantitativo de metro linear para a Man. Flexível 1 e metro quadrado para a Man. Flexível 2</t>
  </si>
  <si>
    <t>Foi considerado a metade da área do pátio como total de metros lineares para a Manutenção Flexível 1 de Pátio de aeronaves</t>
  </si>
  <si>
    <t>2) Valores de movimentação anual referentes à média do número de movimentos de aeronaves de 2019 a 2023 (desconsiderando 2020 - ano de pandemia) da aviação comercial (ANAC) e aviação geral (BIMTRA), excluindo os movimentos da aviação militar.</t>
  </si>
  <si>
    <r>
      <t xml:space="preserve">3) Na aba </t>
    </r>
    <r>
      <rPr>
        <b/>
        <sz val="11"/>
        <color theme="1"/>
        <rFont val="Aptos Narrow"/>
        <family val="2"/>
        <scheme val="minor"/>
      </rPr>
      <t>Manutenção</t>
    </r>
    <r>
      <rPr>
        <sz val="11"/>
        <color theme="1"/>
        <rFont val="Aptos Narrow"/>
        <family val="2"/>
        <scheme val="minor"/>
      </rPr>
      <t xml:space="preserve"> foram consideradas apenas as questões relativas ao suporte do pavimento para o preenchimento das aeronaves críticas.</t>
    </r>
  </si>
  <si>
    <t>O campo aeronave crítica foi atualizado nesta entrega, calculado com base na comparação entre o PCN apresentado no ROTAER (DECEA) – proveniente da entrega da base de dados da lista de aeroportos, em outubro de 2024 (Produto 1.6) – e o ACN das aeronaves existentes nos simuladores, sendo o ACN equivalente ao peso de, no mínimo, 90% do PMD da aeronave.</t>
  </si>
  <si>
    <t>Não foram considerados os aspectos geométricos das aeronaves para a verificação do comprimento de pista e da largura da pista.</t>
  </si>
  <si>
    <r>
      <t xml:space="preserve">4) Os cálculos de desemborrachamento foram realizados com o uso da planilha </t>
    </r>
    <r>
      <rPr>
        <b/>
        <sz val="11"/>
        <color theme="1"/>
        <rFont val="Aptos Narrow"/>
        <family val="2"/>
        <scheme val="minor"/>
      </rPr>
      <t>ÁBACO ORÇAMENTO REMOÇÃO (SAC).xlsx</t>
    </r>
    <r>
      <rPr>
        <sz val="11"/>
        <color theme="1"/>
        <rFont val="Aptos Narrow"/>
        <family val="2"/>
        <scheme val="minor"/>
      </rPr>
      <t>, elaborada pela Infraero.</t>
    </r>
  </si>
  <si>
    <r>
      <t xml:space="preserve">5) As distâncias apresentadas na aba </t>
    </r>
    <r>
      <rPr>
        <b/>
        <sz val="11"/>
        <color theme="1"/>
        <rFont val="Aptos Narrow"/>
        <family val="2"/>
        <scheme val="minor"/>
      </rPr>
      <t>Desemborrachamento</t>
    </r>
    <r>
      <rPr>
        <sz val="11"/>
        <color theme="1"/>
        <rFont val="Aptos Narrow"/>
        <family val="2"/>
        <scheme val="minor"/>
      </rPr>
      <t xml:space="preserve"> são referentes à menor distância geográfica (euclidiana) entre SBSP, SBRF e SBBR até o aeródromo em questão.</t>
    </r>
  </si>
  <si>
    <t>Distâncias calculadas através de consulta ao GPT4 "Calcular distâncias geodésicas entre cada aeroporto da lista e os aeroportos SBSP (Congonhas), SBRF (Recife) e SBBR (Brasília), incluindo qual deles está mais próximo:"</t>
  </si>
  <si>
    <t>6) Os aeródromos da rede estratégica se enquadram na Faixa 1 para Frequência mínima de remoção do acúmulo de borracha (720 dias), conforme tabela 153.205-8 da RBAC Nº 153 EMD 04.</t>
  </si>
  <si>
    <t>A análise foi feita de acordo com os dados do BIMTRA e da ANAC</t>
  </si>
  <si>
    <t>Arredondamento dos 720 dias para o prazo de 2 anos</t>
  </si>
  <si>
    <t>Manutenção-Taxiway</t>
  </si>
  <si>
    <t>Manutenção-Pátio</t>
  </si>
  <si>
    <t>Faixa de Adequação</t>
  </si>
  <si>
    <t>FLUXO DE CAIXA - 15 anos</t>
  </si>
  <si>
    <t>CAPEX TOTAL</t>
  </si>
  <si>
    <t>OPEX TOTAL</t>
  </si>
  <si>
    <t>RECEITAS TOTAL</t>
  </si>
  <si>
    <t>FLUXO DE CAIXA NOM.- PAN'!A1</t>
  </si>
  <si>
    <t>ATALHO PARA AS ABAS DE FLUXO DE CAIXA NOMINAL</t>
  </si>
  <si>
    <t>CAPEX - PAN'!A1</t>
  </si>
  <si>
    <t>RECEITAS - PAN'!A1</t>
  </si>
  <si>
    <t>OPEX - PAN'!A1</t>
  </si>
  <si>
    <t>CAPEX - Manutenção_PPD'!A1</t>
  </si>
  <si>
    <t>CAPEX - Manutenção_PTR_Taxiway'!A1</t>
  </si>
  <si>
    <t>CAPEX - Manutenção_Pátio'!A1</t>
  </si>
  <si>
    <t>CAPEX - Manut._Desemborracham.'!A1</t>
  </si>
  <si>
    <t>CAPEX - Navegação Aérea'!A1</t>
  </si>
  <si>
    <t>ATALHO PARA A ABA DE RESUMO DO PROGRAMA AMPLIAR</t>
  </si>
  <si>
    <t>AMPLIAR (RESUMO)'!A1</t>
  </si>
  <si>
    <t>Premissas - CAPEX_Manutenção'!A1</t>
  </si>
  <si>
    <t>Sobre esta aba</t>
  </si>
  <si>
    <t>Premissas Gerais'!A1</t>
  </si>
  <si>
    <t>Multiplicador (N):</t>
  </si>
  <si>
    <t>REFORMA TPS</t>
  </si>
  <si>
    <t>SBAC</t>
  </si>
  <si>
    <t>ARACATI</t>
  </si>
  <si>
    <t xml:space="preserve"> CE</t>
  </si>
  <si>
    <t>Adequação-última faixa de evolução PAN</t>
  </si>
  <si>
    <t>SBJE</t>
  </si>
  <si>
    <t>CRUZ</t>
  </si>
  <si>
    <t>CE</t>
  </si>
  <si>
    <t>Manutenção - PTR</t>
  </si>
  <si>
    <t>SBGM</t>
  </si>
  <si>
    <t>SBMD</t>
  </si>
  <si>
    <t>SBMY</t>
  </si>
  <si>
    <t>SBTB</t>
  </si>
  <si>
    <t>SBTU</t>
  </si>
  <si>
    <t>SBUA</t>
  </si>
  <si>
    <t>SNDC</t>
  </si>
  <si>
    <t>SNEB</t>
  </si>
  <si>
    <t>SNFX</t>
  </si>
  <si>
    <t>SNVS</t>
  </si>
  <si>
    <t>SSOU</t>
  </si>
  <si>
    <t>SWBR</t>
  </si>
  <si>
    <t>SWCA</t>
  </si>
  <si>
    <t>SWEI</t>
  </si>
  <si>
    <t>SWEK</t>
  </si>
  <si>
    <t>SWJN</t>
  </si>
  <si>
    <t>SWKC</t>
  </si>
  <si>
    <t>SWLB</t>
  </si>
  <si>
    <t>SWMW</t>
  </si>
  <si>
    <t>SWTS</t>
  </si>
  <si>
    <t>JERICOACOARA</t>
  </si>
  <si>
    <t>SESINC</t>
  </si>
  <si>
    <t>CAT V</t>
  </si>
  <si>
    <t>CAT VI</t>
  </si>
  <si>
    <t>COMANDANTE ARISTON PESSOA</t>
  </si>
  <si>
    <t>AEROPORTO REGIONAL DE CANOA QUEBRADA DRAGÃO DO MAR</t>
  </si>
  <si>
    <t>PÓS CP</t>
  </si>
  <si>
    <t>PRÉ CP</t>
  </si>
  <si>
    <t>MÉDIO ANUAL</t>
  </si>
  <si>
    <t>15 ANOS</t>
  </si>
  <si>
    <t>PAX 2052</t>
  </si>
  <si>
    <t>N266</t>
  </si>
  <si>
    <t>N498</t>
  </si>
  <si>
    <t>N366</t>
  </si>
  <si>
    <t>N390</t>
  </si>
  <si>
    <t>N419</t>
  </si>
  <si>
    <t>N023</t>
  </si>
  <si>
    <t>N158</t>
  </si>
  <si>
    <t>N378</t>
  </si>
  <si>
    <t>SNCP</t>
  </si>
  <si>
    <t>N002</t>
  </si>
  <si>
    <t>N429</t>
  </si>
  <si>
    <t>N487</t>
  </si>
  <si>
    <t>N489</t>
  </si>
  <si>
    <t>N499</t>
  </si>
  <si>
    <t>N504</t>
  </si>
  <si>
    <t>N505</t>
  </si>
  <si>
    <t>N510</t>
  </si>
  <si>
    <t>N449</t>
  </si>
  <si>
    <t>N520</t>
  </si>
  <si>
    <t>N530</t>
  </si>
  <si>
    <t>N533</t>
  </si>
  <si>
    <t>N537</t>
  </si>
  <si>
    <t>N544</t>
  </si>
  <si>
    <t>N554</t>
  </si>
  <si>
    <t>N092</t>
  </si>
  <si>
    <t>N115</t>
  </si>
  <si>
    <t>N120</t>
  </si>
  <si>
    <t>N584</t>
  </si>
  <si>
    <t>N586</t>
  </si>
  <si>
    <t>N593</t>
  </si>
  <si>
    <t>N126</t>
  </si>
  <si>
    <t>N597</t>
  </si>
  <si>
    <t>N610</t>
  </si>
  <si>
    <t>N625</t>
  </si>
  <si>
    <t>N633</t>
  </si>
  <si>
    <t>N638</t>
  </si>
  <si>
    <t>N640</t>
  </si>
  <si>
    <t>N167</t>
  </si>
  <si>
    <t>N327</t>
  </si>
  <si>
    <t>N659</t>
  </si>
  <si>
    <t>N667</t>
  </si>
  <si>
    <t>N673</t>
  </si>
  <si>
    <t>N682</t>
  </si>
  <si>
    <t>SWIA</t>
  </si>
  <si>
    <t>N693</t>
  </si>
  <si>
    <t>N285</t>
  </si>
  <si>
    <t>N714</t>
  </si>
  <si>
    <t>N294</t>
  </si>
  <si>
    <t>SDK7</t>
  </si>
  <si>
    <t>N134</t>
  </si>
  <si>
    <t>N754</t>
  </si>
  <si>
    <t>N756</t>
  </si>
  <si>
    <t>N199</t>
  </si>
  <si>
    <t>N765</t>
  </si>
  <si>
    <t>SWAY</t>
  </si>
  <si>
    <t>N781</t>
  </si>
  <si>
    <t>N796</t>
  </si>
  <si>
    <t>N812</t>
  </si>
  <si>
    <t>N814</t>
  </si>
  <si>
    <t>N817</t>
  </si>
  <si>
    <t>N819</t>
  </si>
  <si>
    <t>N129</t>
  </si>
  <si>
    <t>N823</t>
  </si>
  <si>
    <t>N827</t>
  </si>
  <si>
    <t>N840</t>
  </si>
  <si>
    <t>N848</t>
  </si>
  <si>
    <t>N853</t>
  </si>
  <si>
    <t>N861</t>
  </si>
  <si>
    <t>N871</t>
  </si>
  <si>
    <t>N468</t>
  </si>
  <si>
    <t>SDKE</t>
  </si>
  <si>
    <t>N893</t>
  </si>
  <si>
    <t>N689</t>
  </si>
  <si>
    <t>N702</t>
  </si>
  <si>
    <t>N181</t>
  </si>
  <si>
    <t>N186</t>
  </si>
  <si>
    <t>N371</t>
  </si>
  <si>
    <t>N501</t>
  </si>
  <si>
    <t>N324</t>
  </si>
  <si>
    <t>N101</t>
  </si>
  <si>
    <t>N275</t>
  </si>
  <si>
    <t>N707</t>
  </si>
  <si>
    <t>N295</t>
  </si>
  <si>
    <t>N483</t>
  </si>
  <si>
    <t>N006</t>
  </si>
  <si>
    <t>N488</t>
  </si>
  <si>
    <t>N007</t>
  </si>
  <si>
    <t>N008</t>
  </si>
  <si>
    <t>N013</t>
  </si>
  <si>
    <t>N014</t>
  </si>
  <si>
    <t>N016</t>
  </si>
  <si>
    <t>N502</t>
  </si>
  <si>
    <t>N017</t>
  </si>
  <si>
    <t>N018</t>
  </si>
  <si>
    <t>N028</t>
  </si>
  <si>
    <t>N036</t>
  </si>
  <si>
    <t>N040</t>
  </si>
  <si>
    <t>N047</t>
  </si>
  <si>
    <t>N183</t>
  </si>
  <si>
    <t>N528</t>
  </si>
  <si>
    <t>N072</t>
  </si>
  <si>
    <t>N082</t>
  </si>
  <si>
    <t>N083</t>
  </si>
  <si>
    <t>N546</t>
  </si>
  <si>
    <t>N085</t>
  </si>
  <si>
    <t>N088</t>
  </si>
  <si>
    <t>N089</t>
  </si>
  <si>
    <t>N091</t>
  </si>
  <si>
    <t>N566</t>
  </si>
  <si>
    <t>N567</t>
  </si>
  <si>
    <t>N106</t>
  </si>
  <si>
    <t>N107</t>
  </si>
  <si>
    <t>N109</t>
  </si>
  <si>
    <t>N583</t>
  </si>
  <si>
    <t>N585</t>
  </si>
  <si>
    <t>N124</t>
  </si>
  <si>
    <t>N125</t>
  </si>
  <si>
    <t>N135</t>
  </si>
  <si>
    <t>N185</t>
  </si>
  <si>
    <t>N137</t>
  </si>
  <si>
    <t>SBAE</t>
  </si>
  <si>
    <t>N148</t>
  </si>
  <si>
    <t>N149</t>
  </si>
  <si>
    <t>N150</t>
  </si>
  <si>
    <t>N191</t>
  </si>
  <si>
    <t>N160</t>
  </si>
  <si>
    <t>N161</t>
  </si>
  <si>
    <t>N174</t>
  </si>
  <si>
    <t>N656</t>
  </si>
  <si>
    <t>N899</t>
  </si>
  <si>
    <t>N176</t>
  </si>
  <si>
    <t>N178</t>
  </si>
  <si>
    <t>N339</t>
  </si>
  <si>
    <t>N211</t>
  </si>
  <si>
    <t>N212</t>
  </si>
  <si>
    <t>N214</t>
  </si>
  <si>
    <t>N215</t>
  </si>
  <si>
    <t>N216</t>
  </si>
  <si>
    <t>N217</t>
  </si>
  <si>
    <t>N218</t>
  </si>
  <si>
    <t>N219</t>
  </si>
  <si>
    <t>N220</t>
  </si>
  <si>
    <t>N221</t>
  </si>
  <si>
    <t>N224</t>
  </si>
  <si>
    <t>N226</t>
  </si>
  <si>
    <t>N227</t>
  </si>
  <si>
    <t>N228</t>
  </si>
  <si>
    <t>N232</t>
  </si>
  <si>
    <t>N233</t>
  </si>
  <si>
    <t>N677</t>
  </si>
  <si>
    <t>N235</t>
  </si>
  <si>
    <t>N240</t>
  </si>
  <si>
    <t>N691</t>
  </si>
  <si>
    <t>N250</t>
  </si>
  <si>
    <t>N259</t>
  </si>
  <si>
    <t>N262</t>
  </si>
  <si>
    <t>N269</t>
  </si>
  <si>
    <t>N281</t>
  </si>
  <si>
    <t>N282</t>
  </si>
  <si>
    <t>N283</t>
  </si>
  <si>
    <t>N710</t>
  </si>
  <si>
    <t>N284</t>
  </si>
  <si>
    <t>N288</t>
  </si>
  <si>
    <t>N296</t>
  </si>
  <si>
    <t>N297</t>
  </si>
  <si>
    <t>N298</t>
  </si>
  <si>
    <t>N738</t>
  </si>
  <si>
    <t>N300</t>
  </si>
  <si>
    <t>N307</t>
  </si>
  <si>
    <t>N310</t>
  </si>
  <si>
    <t>N322</t>
  </si>
  <si>
    <t>N325</t>
  </si>
  <si>
    <t>N326</t>
  </si>
  <si>
    <t>N328</t>
  </si>
  <si>
    <t>N333</t>
  </si>
  <si>
    <t>N764</t>
  </si>
  <si>
    <t>N338</t>
  </si>
  <si>
    <t>N348</t>
  </si>
  <si>
    <t>N774</t>
  </si>
  <si>
    <t>N201</t>
  </si>
  <si>
    <t>N202</t>
  </si>
  <si>
    <t>N203</t>
  </si>
  <si>
    <t>N357</t>
  </si>
  <si>
    <t>N358</t>
  </si>
  <si>
    <t>N359</t>
  </si>
  <si>
    <t>N362</t>
  </si>
  <si>
    <t>N180</t>
  </si>
  <si>
    <t>N382</t>
  </si>
  <si>
    <t>N798</t>
  </si>
  <si>
    <t>N384</t>
  </si>
  <si>
    <t>N386</t>
  </si>
  <si>
    <t>N808</t>
  </si>
  <si>
    <t>N388</t>
  </si>
  <si>
    <t>N905</t>
  </si>
  <si>
    <t>N204</t>
  </si>
  <si>
    <t>N403</t>
  </si>
  <si>
    <t>N401</t>
  </si>
  <si>
    <t>N205</t>
  </si>
  <si>
    <t>N404</t>
  </si>
  <si>
    <t>N405</t>
  </si>
  <si>
    <t>N829</t>
  </si>
  <si>
    <t>N408</t>
  </si>
  <si>
    <t>N412</t>
  </si>
  <si>
    <t>N426</t>
  </si>
  <si>
    <t>N427</t>
  </si>
  <si>
    <t>N430</t>
  </si>
  <si>
    <t>N431</t>
  </si>
  <si>
    <t>N434</t>
  </si>
  <si>
    <t>N435</t>
  </si>
  <si>
    <t>N437</t>
  </si>
  <si>
    <t>N438</t>
  </si>
  <si>
    <t>N445</t>
  </si>
  <si>
    <t>N446</t>
  </si>
  <si>
    <t>N866</t>
  </si>
  <si>
    <t>N454</t>
  </si>
  <si>
    <t>N876</t>
  </si>
  <si>
    <t>N471</t>
  </si>
  <si>
    <t>N884</t>
  </si>
  <si>
    <t>N477</t>
  </si>
  <si>
    <t>N478</t>
  </si>
  <si>
    <t>N886</t>
  </si>
  <si>
    <t>N898</t>
  </si>
  <si>
    <t>N291</t>
  </si>
  <si>
    <t>N020</t>
  </si>
  <si>
    <t>N746</t>
  </si>
  <si>
    <t>N807</t>
  </si>
  <si>
    <t>N264</t>
  </si>
  <si>
    <t>N799</t>
  </si>
  <si>
    <t>SBAR</t>
  </si>
  <si>
    <t>SBCA</t>
  </si>
  <si>
    <t>SBCN</t>
  </si>
  <si>
    <t>SBFL</t>
  </si>
  <si>
    <t>SBGR</t>
  </si>
  <si>
    <t>SBGV</t>
  </si>
  <si>
    <t>SBIZ</t>
  </si>
  <si>
    <t>SBJA</t>
  </si>
  <si>
    <t>SBJU</t>
  </si>
  <si>
    <t>SBLJ</t>
  </si>
  <si>
    <t>SBMO</t>
  </si>
  <si>
    <t>SBBQ</t>
  </si>
  <si>
    <t>SBMQ</t>
  </si>
  <si>
    <t>SBPC</t>
  </si>
  <si>
    <t>SBSM</t>
  </si>
  <si>
    <t>SBSV</t>
  </si>
  <si>
    <t>SBTD</t>
  </si>
  <si>
    <t>SBZM</t>
  </si>
  <si>
    <t>SDAM</t>
  </si>
  <si>
    <t>SDCO</t>
  </si>
  <si>
    <t>SDRK</t>
  </si>
  <si>
    <t>SDXF</t>
  </si>
  <si>
    <t>SDXJ</t>
  </si>
  <si>
    <t>SNXA</t>
  </si>
  <si>
    <t>SSKG</t>
  </si>
  <si>
    <t>SBJH</t>
  </si>
  <si>
    <t>SBAA</t>
  </si>
  <si>
    <t>SBAQ</t>
  </si>
  <si>
    <t>SBAT</t>
  </si>
  <si>
    <t>SBAU</t>
  </si>
  <si>
    <t>SBAX</t>
  </si>
  <si>
    <t>SBBE</t>
  </si>
  <si>
    <t>SBBG</t>
  </si>
  <si>
    <t>SBBH</t>
  </si>
  <si>
    <t>SBBI</t>
  </si>
  <si>
    <t>SBBP</t>
  </si>
  <si>
    <t>SBBR</t>
  </si>
  <si>
    <t>SBBU</t>
  </si>
  <si>
    <t>SBBV</t>
  </si>
  <si>
    <t>SBBW</t>
  </si>
  <si>
    <t>SBCB</t>
  </si>
  <si>
    <t>SBCD</t>
  </si>
  <si>
    <t>SBCF</t>
  </si>
  <si>
    <t>SBCG</t>
  </si>
  <si>
    <t>SBCH</t>
  </si>
  <si>
    <t>SBCI</t>
  </si>
  <si>
    <t>SBCJ</t>
  </si>
  <si>
    <t>SBCP</t>
  </si>
  <si>
    <t>SBCR</t>
  </si>
  <si>
    <t>SBCT</t>
  </si>
  <si>
    <t>SBCY</t>
  </si>
  <si>
    <t>SBCZ</t>
  </si>
  <si>
    <t>SBDB</t>
  </si>
  <si>
    <t>SBDN</t>
  </si>
  <si>
    <t>SBDO</t>
  </si>
  <si>
    <t>SBEG</t>
  </si>
  <si>
    <t>SBFI</t>
  </si>
  <si>
    <t>SBFN</t>
  </si>
  <si>
    <t>SBFZ</t>
  </si>
  <si>
    <t>SBGL</t>
  </si>
  <si>
    <t>SBGO</t>
  </si>
  <si>
    <t>SBGW</t>
  </si>
  <si>
    <t>SBHT</t>
  </si>
  <si>
    <t>SBIL</t>
  </si>
  <si>
    <t>SBIP</t>
  </si>
  <si>
    <t>SBIT</t>
  </si>
  <si>
    <t>SBJD</t>
  </si>
  <si>
    <t>SBJF</t>
  </si>
  <si>
    <t>SBJI</t>
  </si>
  <si>
    <t>SBJP</t>
  </si>
  <si>
    <t>SBJR</t>
  </si>
  <si>
    <t>SBJV</t>
  </si>
  <si>
    <t>SBKG</t>
  </si>
  <si>
    <t>SBKP</t>
  </si>
  <si>
    <t>SBNT</t>
  </si>
  <si>
    <t>SBLO</t>
  </si>
  <si>
    <t>SBMA</t>
  </si>
  <si>
    <t>SBME</t>
  </si>
  <si>
    <t>SBMG</t>
  </si>
  <si>
    <t>SBMI</t>
  </si>
  <si>
    <t>SBMK</t>
  </si>
  <si>
    <t>SBML</t>
  </si>
  <si>
    <t>SBMS</t>
  </si>
  <si>
    <t>SBMT</t>
  </si>
  <si>
    <t>SBNF</t>
  </si>
  <si>
    <t>SBNM</t>
  </si>
  <si>
    <t>SBNV</t>
  </si>
  <si>
    <t>SBOI</t>
  </si>
  <si>
    <t>SBPA</t>
  </si>
  <si>
    <t>SBPB</t>
  </si>
  <si>
    <t>SBPF</t>
  </si>
  <si>
    <t>SBPG</t>
  </si>
  <si>
    <t>SBPJ</t>
  </si>
  <si>
    <t>SBPK</t>
  </si>
  <si>
    <t>SBPL</t>
  </si>
  <si>
    <t>SBPO</t>
  </si>
  <si>
    <t>SBPP</t>
  </si>
  <si>
    <t>SBPS</t>
  </si>
  <si>
    <t>SBPV</t>
  </si>
  <si>
    <t>SBRB</t>
  </si>
  <si>
    <t>SBST</t>
  </si>
  <si>
    <t>SBRD</t>
  </si>
  <si>
    <t>SBRF</t>
  </si>
  <si>
    <t>SBRJ</t>
  </si>
  <si>
    <t>SBRP</t>
  </si>
  <si>
    <t>SBSG</t>
  </si>
  <si>
    <t>SBSI</t>
  </si>
  <si>
    <t>SBSJ</t>
  </si>
  <si>
    <t>SBSL</t>
  </si>
  <si>
    <t>SBSN</t>
  </si>
  <si>
    <t>SBSO</t>
  </si>
  <si>
    <t>SBSP</t>
  </si>
  <si>
    <t>SBSR</t>
  </si>
  <si>
    <t>SBTC</t>
  </si>
  <si>
    <t>SBTE</t>
  </si>
  <si>
    <t>SBTF</t>
  </si>
  <si>
    <t>SBTG</t>
  </si>
  <si>
    <t>SBTT</t>
  </si>
  <si>
    <t>SBUG</t>
  </si>
  <si>
    <t>SBUL</t>
  </si>
  <si>
    <t>SBUR</t>
  </si>
  <si>
    <t>SBUY</t>
  </si>
  <si>
    <t>SBVG</t>
  </si>
  <si>
    <t>SBVT</t>
  </si>
  <si>
    <t>SDAA</t>
  </si>
  <si>
    <t>SDAD</t>
  </si>
  <si>
    <t>SDAE</t>
  </si>
  <si>
    <t>SDAG</t>
  </si>
  <si>
    <t>SDAI</t>
  </si>
  <si>
    <t>SDBB</t>
  </si>
  <si>
    <t>SDBK</t>
  </si>
  <si>
    <t>SDBY</t>
  </si>
  <si>
    <t>SDCA</t>
  </si>
  <si>
    <t>SDDN</t>
  </si>
  <si>
    <t>SDDR</t>
  </si>
  <si>
    <t>SDEP</t>
  </si>
  <si>
    <t>SDET</t>
  </si>
  <si>
    <t>SDFD</t>
  </si>
  <si>
    <t>SDFX</t>
  </si>
  <si>
    <t>SDGC</t>
  </si>
  <si>
    <t>SDIG</t>
  </si>
  <si>
    <t>SDIM</t>
  </si>
  <si>
    <t>SDIV</t>
  </si>
  <si>
    <t>SDIY</t>
  </si>
  <si>
    <t>SDJC</t>
  </si>
  <si>
    <t>SDJL</t>
  </si>
  <si>
    <t>SDJO</t>
  </si>
  <si>
    <t>SDJV</t>
  </si>
  <si>
    <t>SDKJ</t>
  </si>
  <si>
    <t>SDKK</t>
  </si>
  <si>
    <t>SDLE</t>
  </si>
  <si>
    <t>SDLL</t>
  </si>
  <si>
    <t>SDLP</t>
  </si>
  <si>
    <t>SDLY</t>
  </si>
  <si>
    <t>SDMH</t>
  </si>
  <si>
    <t>SDMJ</t>
  </si>
  <si>
    <t>SDMO</t>
  </si>
  <si>
    <t>SDNH</t>
  </si>
  <si>
    <t>SDNM</t>
  </si>
  <si>
    <t>SDNO</t>
  </si>
  <si>
    <t>SDOU</t>
  </si>
  <si>
    <t>SDOV</t>
  </si>
  <si>
    <t>SDOW</t>
  </si>
  <si>
    <t>SDPD</t>
  </si>
  <si>
    <t>SDPE</t>
  </si>
  <si>
    <t>SDPN</t>
  </si>
  <si>
    <t>SDPV</t>
  </si>
  <si>
    <t>SDPW</t>
  </si>
  <si>
    <t>SDPY</t>
  </si>
  <si>
    <t>SDRR</t>
  </si>
  <si>
    <t>SDRS</t>
  </si>
  <si>
    <t>SDSC</t>
  </si>
  <si>
    <t>SDTB</t>
  </si>
  <si>
    <t>SDTF</t>
  </si>
  <si>
    <t>SDTI</t>
  </si>
  <si>
    <t>SDTK</t>
  </si>
  <si>
    <t>SDTP</t>
  </si>
  <si>
    <t>SDUB</t>
  </si>
  <si>
    <t>SDUN</t>
  </si>
  <si>
    <t>SDUQ</t>
  </si>
  <si>
    <t>SDVE</t>
  </si>
  <si>
    <t>SDVG</t>
  </si>
  <si>
    <t>SDWQ</t>
  </si>
  <si>
    <t>SDZG</t>
  </si>
  <si>
    <t>SIBU</t>
  </si>
  <si>
    <t>SIBW</t>
  </si>
  <si>
    <t>SIBY</t>
  </si>
  <si>
    <t>SIBZ</t>
  </si>
  <si>
    <t>SICB</t>
  </si>
  <si>
    <t>SICK</t>
  </si>
  <si>
    <t>SILC</t>
  </si>
  <si>
    <t>SIMK</t>
  </si>
  <si>
    <t>SIZX</t>
  </si>
  <si>
    <t>SJAU</t>
  </si>
  <si>
    <t>SJBY</t>
  </si>
  <si>
    <t>SJGU</t>
  </si>
  <si>
    <t>SNRJ</t>
  </si>
  <si>
    <t>SJHG</t>
  </si>
  <si>
    <t>SJLH</t>
  </si>
  <si>
    <t>SJOG</t>
  </si>
  <si>
    <t>SJQN</t>
  </si>
  <si>
    <t>SJRG</t>
  </si>
  <si>
    <t>SJTS</t>
  </si>
  <si>
    <t>SJVO</t>
  </si>
  <si>
    <t>SJXI</t>
  </si>
  <si>
    <t>SJZA</t>
  </si>
  <si>
    <t>SNAE</t>
  </si>
  <si>
    <t>SNAG</t>
  </si>
  <si>
    <t>SNAL</t>
  </si>
  <si>
    <t>SNAP</t>
  </si>
  <si>
    <t>SNAR</t>
  </si>
  <si>
    <t>SNAS</t>
  </si>
  <si>
    <t>SNAX</t>
  </si>
  <si>
    <t>SNBA</t>
  </si>
  <si>
    <t>SNBC</t>
  </si>
  <si>
    <t>SNBG</t>
  </si>
  <si>
    <t>SNBM</t>
  </si>
  <si>
    <t>SNBR</t>
  </si>
  <si>
    <t>N531</t>
  </si>
  <si>
    <t>SNBX</t>
  </si>
  <si>
    <t>SNCW</t>
  </si>
  <si>
    <t>SNBZ</t>
  </si>
  <si>
    <t>SNCA</t>
  </si>
  <si>
    <t>SNCS</t>
  </si>
  <si>
    <t>SNCT</t>
  </si>
  <si>
    <t>SNCX</t>
  </si>
  <si>
    <t>SNCZ</t>
  </si>
  <si>
    <t>SNDT</t>
  </si>
  <si>
    <t>SNDV</t>
  </si>
  <si>
    <t>SNED</t>
  </si>
  <si>
    <t>SNEE</t>
  </si>
  <si>
    <t>SNFE</t>
  </si>
  <si>
    <t>SNFO</t>
  </si>
  <si>
    <t>SNFU</t>
  </si>
  <si>
    <t>SNGA</t>
  </si>
  <si>
    <t>SNGB</t>
  </si>
  <si>
    <t>SNGD</t>
  </si>
  <si>
    <t>SNGG</t>
  </si>
  <si>
    <t>SNGT</t>
  </si>
  <si>
    <t>SNGX</t>
  </si>
  <si>
    <t>SNIB</t>
  </si>
  <si>
    <t>SNIC</t>
  </si>
  <si>
    <t>SNIE</t>
  </si>
  <si>
    <t>SNIG</t>
  </si>
  <si>
    <t>SNIO</t>
  </si>
  <si>
    <t>SNIP</t>
  </si>
  <si>
    <t>SNIT</t>
  </si>
  <si>
    <t>SNIU</t>
  </si>
  <si>
    <t>SNJB</t>
  </si>
  <si>
    <t>SNJK</t>
  </si>
  <si>
    <t>SNJM</t>
  </si>
  <si>
    <t>SNJP</t>
  </si>
  <si>
    <t>SNJQ</t>
  </si>
  <si>
    <t>SNJR</t>
  </si>
  <si>
    <t>SNKC</t>
  </si>
  <si>
    <t>SNKD</t>
  </si>
  <si>
    <t>SNKF</t>
  </si>
  <si>
    <t>SNKO</t>
  </si>
  <si>
    <t>SNKI</t>
  </si>
  <si>
    <t>SNKN</t>
  </si>
  <si>
    <t>SNKR</t>
  </si>
  <si>
    <t>SNKS</t>
  </si>
  <si>
    <t>SNKU</t>
  </si>
  <si>
    <t>SNLI</t>
  </si>
  <si>
    <t>SNLN</t>
  </si>
  <si>
    <t>SNLO</t>
  </si>
  <si>
    <t>SNLT</t>
  </si>
  <si>
    <t>SNMA</t>
  </si>
  <si>
    <t>SNMH</t>
  </si>
  <si>
    <t>SNMI</t>
  </si>
  <si>
    <t>SNMJ</t>
  </si>
  <si>
    <t>SNMK</t>
  </si>
  <si>
    <t>SNMN</t>
  </si>
  <si>
    <t>SNMR</t>
  </si>
  <si>
    <t>SNMX</t>
  </si>
  <si>
    <t>SNMZ</t>
  </si>
  <si>
    <t>SNNE</t>
  </si>
  <si>
    <t>SNNU</t>
  </si>
  <si>
    <t>SNOE</t>
  </si>
  <si>
    <t>SNOF</t>
  </si>
  <si>
    <t>SNOS</t>
  </si>
  <si>
    <t>SNOU</t>
  </si>
  <si>
    <t>SNOX</t>
  </si>
  <si>
    <t>SNPA</t>
  </si>
  <si>
    <t>SNPC</t>
  </si>
  <si>
    <t>SNPD</t>
  </si>
  <si>
    <t>SNPI</t>
  </si>
  <si>
    <t>SNPJ</t>
  </si>
  <si>
    <t>SNPQ</t>
  </si>
  <si>
    <t>SNPU</t>
  </si>
  <si>
    <t>SNPX</t>
  </si>
  <si>
    <t>SNPY</t>
  </si>
  <si>
    <t>SNQD</t>
  </si>
  <si>
    <t>SNQG</t>
  </si>
  <si>
    <t>SNQU</t>
  </si>
  <si>
    <t>SNQV</t>
  </si>
  <si>
    <t>SNQX</t>
  </si>
  <si>
    <t>SNRD</t>
  </si>
  <si>
    <t>SNRM</t>
  </si>
  <si>
    <t>SNRP</t>
  </si>
  <si>
    <t>SNRU</t>
  </si>
  <si>
    <t>SNRX</t>
  </si>
  <si>
    <t>SNRZ</t>
  </si>
  <si>
    <t>SNSE</t>
  </si>
  <si>
    <t>SNSG</t>
  </si>
  <si>
    <t>SNSI</t>
  </si>
  <si>
    <t>SNSS</t>
  </si>
  <si>
    <t>SNTF</t>
  </si>
  <si>
    <t>SNTI</t>
  </si>
  <si>
    <t>SNTO</t>
  </si>
  <si>
    <t>SNTQ</t>
  </si>
  <si>
    <t>SNTR</t>
  </si>
  <si>
    <t>SNTS</t>
  </si>
  <si>
    <t>SNTY</t>
  </si>
  <si>
    <t>SNUB</t>
  </si>
  <si>
    <t>SNUH</t>
  </si>
  <si>
    <t>SNUI</t>
  </si>
  <si>
    <t>SNUN</t>
  </si>
  <si>
    <t>SNUT</t>
  </si>
  <si>
    <t>SNVB</t>
  </si>
  <si>
    <t>SNVC</t>
  </si>
  <si>
    <t>SNVD</t>
  </si>
  <si>
    <t>SNVI</t>
  </si>
  <si>
    <t>SNWC</t>
  </si>
  <si>
    <t>SNWS</t>
  </si>
  <si>
    <t>SNXB</t>
  </si>
  <si>
    <t>SNXQ</t>
  </si>
  <si>
    <t>SNYA</t>
  </si>
  <si>
    <t>SNYB</t>
  </si>
  <si>
    <t>SNYE</t>
  </si>
  <si>
    <t>SNYT</t>
  </si>
  <si>
    <t>SNYU</t>
  </si>
  <si>
    <t>SNZA</t>
  </si>
  <si>
    <t>SNZR</t>
  </si>
  <si>
    <t>SNZW</t>
  </si>
  <si>
    <t>SSAB</t>
  </si>
  <si>
    <t>SSAE</t>
  </si>
  <si>
    <t>SSAK</t>
  </si>
  <si>
    <t>SSAN</t>
  </si>
  <si>
    <t>SSAP</t>
  </si>
  <si>
    <t>SSAQ</t>
  </si>
  <si>
    <t>SSBL</t>
  </si>
  <si>
    <t>SSBN</t>
  </si>
  <si>
    <t>SSBV</t>
  </si>
  <si>
    <t>SSCB</t>
  </si>
  <si>
    <t>SSCD</t>
  </si>
  <si>
    <t>SIBK</t>
  </si>
  <si>
    <t>SSCI</t>
  </si>
  <si>
    <t>SSCK</t>
  </si>
  <si>
    <t>SSCL</t>
  </si>
  <si>
    <t>SSCN</t>
  </si>
  <si>
    <t>SSCP</t>
  </si>
  <si>
    <t>SSCR</t>
  </si>
  <si>
    <t>SSCT</t>
  </si>
  <si>
    <t>SSEE</t>
  </si>
  <si>
    <t>SSEP</t>
  </si>
  <si>
    <t>SSER</t>
  </si>
  <si>
    <t>SSEZ</t>
  </si>
  <si>
    <t>SSFB</t>
  </si>
  <si>
    <t>SSFL</t>
  </si>
  <si>
    <t>SSGA</t>
  </si>
  <si>
    <t>SSGB</t>
  </si>
  <si>
    <t>SSGG</t>
  </si>
  <si>
    <t>SSGO</t>
  </si>
  <si>
    <t>SSGW</t>
  </si>
  <si>
    <t>SSGY</t>
  </si>
  <si>
    <t>SSHZ</t>
  </si>
  <si>
    <t>SSIE</t>
  </si>
  <si>
    <t>SSIJ</t>
  </si>
  <si>
    <t>SSIM</t>
  </si>
  <si>
    <t>SSIQ</t>
  </si>
  <si>
    <t>SSIR</t>
  </si>
  <si>
    <t>SSJA</t>
  </si>
  <si>
    <t>SSJI</t>
  </si>
  <si>
    <t>SSJK</t>
  </si>
  <si>
    <t>SSKJ</t>
  </si>
  <si>
    <t>SSKK</t>
  </si>
  <si>
    <t>SSKM</t>
  </si>
  <si>
    <t>SSKS</t>
  </si>
  <si>
    <t>SSKU</t>
  </si>
  <si>
    <t>SSKZ</t>
  </si>
  <si>
    <t>SSLG</t>
  </si>
  <si>
    <t>SSLN</t>
  </si>
  <si>
    <t>SSLO</t>
  </si>
  <si>
    <t>SSLS</t>
  </si>
  <si>
    <t>SSLT</t>
  </si>
  <si>
    <t>SSMJ</t>
  </si>
  <si>
    <t>SSMR</t>
  </si>
  <si>
    <t>SSMT</t>
  </si>
  <si>
    <t>SSNB</t>
  </si>
  <si>
    <t>SSNG</t>
  </si>
  <si>
    <t>SSNH</t>
  </si>
  <si>
    <t>SSNP</t>
  </si>
  <si>
    <t>SSNQ</t>
  </si>
  <si>
    <t>SSOE</t>
  </si>
  <si>
    <t>SSOG</t>
  </si>
  <si>
    <t>SSOI</t>
  </si>
  <si>
    <t>SSOL</t>
  </si>
  <si>
    <t>SSOS</t>
  </si>
  <si>
    <t>SSPG</t>
  </si>
  <si>
    <t>SSPI</t>
  </si>
  <si>
    <t>SSPL</t>
  </si>
  <si>
    <t>SSPM</t>
  </si>
  <si>
    <t>SSPN</t>
  </si>
  <si>
    <t>SSPS</t>
  </si>
  <si>
    <t>SSPT</t>
  </si>
  <si>
    <t>SSQC</t>
  </si>
  <si>
    <t>SSQP</t>
  </si>
  <si>
    <t>SSQT</t>
  </si>
  <si>
    <t>SSQZ</t>
  </si>
  <si>
    <t>SSRE</t>
  </si>
  <si>
    <t>SSRF</t>
  </si>
  <si>
    <t>SSRG</t>
  </si>
  <si>
    <t>SSRK</t>
  </si>
  <si>
    <t>SSRU</t>
  </si>
  <si>
    <t>SSRZ</t>
  </si>
  <si>
    <t>SSSB</t>
  </si>
  <si>
    <t>SSSC</t>
  </si>
  <si>
    <t>SSSD</t>
  </si>
  <si>
    <t>SSSG</t>
  </si>
  <si>
    <t>SSSS</t>
  </si>
  <si>
    <t>SSST</t>
  </si>
  <si>
    <t>SSSZ</t>
  </si>
  <si>
    <t>SSTB</t>
  </si>
  <si>
    <t>SSTE</t>
  </si>
  <si>
    <t>SSUM</t>
  </si>
  <si>
    <t>SSUV</t>
  </si>
  <si>
    <t>SBVC</t>
  </si>
  <si>
    <t>SSVI</t>
  </si>
  <si>
    <t>SSVL</t>
  </si>
  <si>
    <t>SSVN</t>
  </si>
  <si>
    <t>SSWS</t>
  </si>
  <si>
    <t>SSXD</t>
  </si>
  <si>
    <t>SSXX</t>
  </si>
  <si>
    <t>SSYR</t>
  </si>
  <si>
    <t>SSZR</t>
  </si>
  <si>
    <t>SWBE</t>
  </si>
  <si>
    <t>SWBG</t>
  </si>
  <si>
    <t>SWBS</t>
  </si>
  <si>
    <t>SWBV</t>
  </si>
  <si>
    <t>SWCB</t>
  </si>
  <si>
    <t>SWCZ</t>
  </si>
  <si>
    <t>SWDM</t>
  </si>
  <si>
    <t>SWDN</t>
  </si>
  <si>
    <t>SWFN</t>
  </si>
  <si>
    <t>SWFR</t>
  </si>
  <si>
    <t>SWFX</t>
  </si>
  <si>
    <t>SWGI</t>
  </si>
  <si>
    <t>SWHP</t>
  </si>
  <si>
    <t>SWHT</t>
  </si>
  <si>
    <t>SWIQ</t>
  </si>
  <si>
    <t>SWJP</t>
  </si>
  <si>
    <t>SWJW</t>
  </si>
  <si>
    <t>SWKO</t>
  </si>
  <si>
    <t>SWKT</t>
  </si>
  <si>
    <t>SWME</t>
  </si>
  <si>
    <t>SWNA</t>
  </si>
  <si>
    <t>SWNH</t>
  </si>
  <si>
    <t>SWNK</t>
  </si>
  <si>
    <t>SWNQ</t>
  </si>
  <si>
    <t>SWNS</t>
  </si>
  <si>
    <t>SWOW</t>
  </si>
  <si>
    <t>SWPG</t>
  </si>
  <si>
    <t>SWPK</t>
  </si>
  <si>
    <t>SWPL</t>
  </si>
  <si>
    <t>SWPM</t>
  </si>
  <si>
    <t>SWPR</t>
  </si>
  <si>
    <t>SWPZ</t>
  </si>
  <si>
    <t>SWRD</t>
  </si>
  <si>
    <t>SWRO</t>
  </si>
  <si>
    <t>SWTO</t>
  </si>
  <si>
    <t>SWTY</t>
  </si>
  <si>
    <t>SWUA</t>
  </si>
  <si>
    <t>SWUD</t>
  </si>
  <si>
    <t>SWUJ</t>
  </si>
  <si>
    <t>SWUQ</t>
  </si>
  <si>
    <t>SWUZ</t>
  </si>
  <si>
    <t>SWVC</t>
  </si>
  <si>
    <t>SWWA</t>
  </si>
  <si>
    <t>SWWU</t>
  </si>
  <si>
    <t>SWXM</t>
  </si>
  <si>
    <t>SWXQ</t>
  </si>
  <si>
    <t>SWXV</t>
  </si>
  <si>
    <t>N920</t>
  </si>
  <si>
    <t>N921</t>
  </si>
  <si>
    <t>SBAF</t>
  </si>
  <si>
    <t>SBAN</t>
  </si>
  <si>
    <t>SBCC</t>
  </si>
  <si>
    <t>SBCO</t>
  </si>
  <si>
    <t>SBES</t>
  </si>
  <si>
    <t>SBLS</t>
  </si>
  <si>
    <t>SBMN</t>
  </si>
  <si>
    <t>SBQI</t>
  </si>
  <si>
    <t>SBSC</t>
  </si>
  <si>
    <t>SBTA</t>
  </si>
  <si>
    <t>SBTS</t>
  </si>
  <si>
    <t>SBYA</t>
  </si>
  <si>
    <t>SBYS</t>
  </si>
  <si>
    <t>SDMR</t>
  </si>
  <si>
    <t>SNPW</t>
  </si>
  <si>
    <t>SNXX</t>
  </si>
  <si>
    <t>SSCQ</t>
  </si>
  <si>
    <t>SSFK</t>
  </si>
  <si>
    <t>SSPY</t>
  </si>
  <si>
    <t>SWEE</t>
  </si>
  <si>
    <t>SWPB</t>
  </si>
  <si>
    <t>SNRA</t>
  </si>
  <si>
    <t>N518</t>
  </si>
  <si>
    <t>N563</t>
  </si>
  <si>
    <t>N569</t>
  </si>
  <si>
    <t>N580</t>
  </si>
  <si>
    <t>N595</t>
  </si>
  <si>
    <t>N686</t>
  </si>
  <si>
    <t>N768</t>
  </si>
  <si>
    <t>N833</t>
  </si>
  <si>
    <t>N447</t>
  </si>
  <si>
    <t>N881</t>
  </si>
  <si>
    <t>SDKF</t>
  </si>
  <si>
    <t>N162</t>
  </si>
  <si>
    <t>N792</t>
  </si>
  <si>
    <t>N896</t>
  </si>
  <si>
    <t>SWRA</t>
  </si>
  <si>
    <t>SNES</t>
  </si>
  <si>
    <t>N196</t>
  </si>
  <si>
    <t>SNDN</t>
  </si>
  <si>
    <t>SNOY</t>
  </si>
  <si>
    <t>N197</t>
  </si>
  <si>
    <t>SNZP</t>
  </si>
  <si>
    <t>SNQM</t>
  </si>
  <si>
    <t>SIFH</t>
  </si>
  <si>
    <t>SNJH</t>
  </si>
  <si>
    <t>SWTB</t>
  </si>
  <si>
    <t>SNTU</t>
  </si>
  <si>
    <t>SNUU</t>
  </si>
  <si>
    <t>SBAM</t>
  </si>
  <si>
    <t>SNJO</t>
  </si>
  <si>
    <t>SBCX</t>
  </si>
  <si>
    <t>SBJC</t>
  </si>
  <si>
    <t>SBLP</t>
  </si>
  <si>
    <t>SBQV</t>
  </si>
  <si>
    <t>SBPR</t>
  </si>
  <si>
    <t>SDBA</t>
  </si>
  <si>
    <t>SDGR</t>
  </si>
  <si>
    <t>SDLG</t>
  </si>
  <si>
    <t>SDLH</t>
  </si>
  <si>
    <t>SDLI</t>
  </si>
  <si>
    <t>SDLC</t>
  </si>
  <si>
    <t>SDLK</t>
  </si>
  <si>
    <t>SDNY</t>
  </si>
  <si>
    <t>SDVL</t>
  </si>
  <si>
    <t>SDXB</t>
  </si>
  <si>
    <t>SDYW</t>
  </si>
  <si>
    <t>SDYX</t>
  </si>
  <si>
    <t>SICA</t>
  </si>
  <si>
    <t>SIRW</t>
  </si>
  <si>
    <t>SIDB</t>
  </si>
  <si>
    <t>SJKE</t>
  </si>
  <si>
    <t>SJOH</t>
  </si>
  <si>
    <t>SJTZ</t>
  </si>
  <si>
    <t>SJOM</t>
  </si>
  <si>
    <t>SNAH</t>
  </si>
  <si>
    <t>SNAI</t>
  </si>
  <si>
    <t>SNAM</t>
  </si>
  <si>
    <t>SNAZ</t>
  </si>
  <si>
    <t>SNBJ</t>
  </si>
  <si>
    <t>SNBL</t>
  </si>
  <si>
    <t>SNBN</t>
  </si>
  <si>
    <t>SNBO</t>
  </si>
  <si>
    <t>SNBT</t>
  </si>
  <si>
    <t>SNBW</t>
  </si>
  <si>
    <t>SNCE</t>
  </si>
  <si>
    <t>SNCU</t>
  </si>
  <si>
    <t>SNCV</t>
  </si>
  <si>
    <t>SNDB</t>
  </si>
  <si>
    <t>SNDJ</t>
  </si>
  <si>
    <t>SNEL</t>
  </si>
  <si>
    <t>SNDW</t>
  </si>
  <si>
    <t>SNFR</t>
  </si>
  <si>
    <t>SNEU</t>
  </si>
  <si>
    <t>SNGH</t>
  </si>
  <si>
    <t>SNGU</t>
  </si>
  <si>
    <t>SNGR</t>
  </si>
  <si>
    <t>SNIN</t>
  </si>
  <si>
    <t>SNIY</t>
  </si>
  <si>
    <t>SNJN</t>
  </si>
  <si>
    <t>SNJW</t>
  </si>
  <si>
    <t>SNKE</t>
  </si>
  <si>
    <t>SNKL</t>
  </si>
  <si>
    <t>SNKK</t>
  </si>
  <si>
    <t>SNLH</t>
  </si>
  <si>
    <t>SNMC</t>
  </si>
  <si>
    <t>SNMM</t>
  </si>
  <si>
    <t>SNMO</t>
  </si>
  <si>
    <t>SNNH</t>
  </si>
  <si>
    <t>SNNP</t>
  </si>
  <si>
    <t>SNOC</t>
  </si>
  <si>
    <t>SNPE</t>
  </si>
  <si>
    <t>SNPM</t>
  </si>
  <si>
    <t>SNPO</t>
  </si>
  <si>
    <t>SNPT</t>
  </si>
  <si>
    <t>SNPZ</t>
  </si>
  <si>
    <t>SNRS</t>
  </si>
  <si>
    <t>SNSC</t>
  </si>
  <si>
    <t>SNSO</t>
  </si>
  <si>
    <t>SNST</t>
  </si>
  <si>
    <t>SNTK</t>
  </si>
  <si>
    <t>SNSW</t>
  </si>
  <si>
    <t>SNTM</t>
  </si>
  <si>
    <t>SNUD</t>
  </si>
  <si>
    <t>SNUC</t>
  </si>
  <si>
    <t>SNUY</t>
  </si>
  <si>
    <t>SNVL</t>
  </si>
  <si>
    <t>SNVV</t>
  </si>
  <si>
    <t>SNVZ</t>
  </si>
  <si>
    <t>SNXW</t>
  </si>
  <si>
    <t>SNYD</t>
  </si>
  <si>
    <t>SSBD</t>
  </si>
  <si>
    <t>SSBE</t>
  </si>
  <si>
    <t>SSBJ</t>
  </si>
  <si>
    <t>SSBR</t>
  </si>
  <si>
    <t>SSDC</t>
  </si>
  <si>
    <t>SSCV</t>
  </si>
  <si>
    <t>SSES</t>
  </si>
  <si>
    <t>SSGR</t>
  </si>
  <si>
    <t>SSJR</t>
  </si>
  <si>
    <t>SSKN</t>
  </si>
  <si>
    <t>SSLA</t>
  </si>
  <si>
    <t>SSMF</t>
  </si>
  <si>
    <t>SSNO</t>
  </si>
  <si>
    <t>SSQM</t>
  </si>
  <si>
    <t>SSQN</t>
  </si>
  <si>
    <t>SSRB</t>
  </si>
  <si>
    <t>SSSQ</t>
  </si>
  <si>
    <t>SSVP</t>
  </si>
  <si>
    <t>SSWF</t>
  </si>
  <si>
    <t>SSYA</t>
  </si>
  <si>
    <t>SWBA</t>
  </si>
  <si>
    <t>SWAQ</t>
  </si>
  <si>
    <t>SWBH</t>
  </si>
  <si>
    <t>SWBI</t>
  </si>
  <si>
    <t>SWBL</t>
  </si>
  <si>
    <t>SWCV</t>
  </si>
  <si>
    <t>SWCW</t>
  </si>
  <si>
    <t>SWHG</t>
  </si>
  <si>
    <t>SWIP</t>
  </si>
  <si>
    <t>SWJU</t>
  </si>
  <si>
    <t>SWLC</t>
  </si>
  <si>
    <t>SWML</t>
  </si>
  <si>
    <t>SWMX</t>
  </si>
  <si>
    <t>SWNM</t>
  </si>
  <si>
    <t>SWNO</t>
  </si>
  <si>
    <t>SWNR</t>
  </si>
  <si>
    <t>SWPV</t>
  </si>
  <si>
    <t>SWST</t>
  </si>
  <si>
    <t>SWUC</t>
  </si>
  <si>
    <t>SWUI</t>
  </si>
  <si>
    <t>SWVB</t>
  </si>
  <si>
    <t>SWWK</t>
  </si>
  <si>
    <t>SWXU</t>
  </si>
  <si>
    <t>BLOCO</t>
  </si>
  <si>
    <t>Aumento de Pátio; Aumento de estacionamento de veículos</t>
  </si>
  <si>
    <t>BLOCO AMAZONAS - 3</t>
  </si>
  <si>
    <t>BLOCO PARÁ - 1</t>
  </si>
  <si>
    <t>Aumento de Pátio, para adequação de operação AV Comercial e AVG; Aumento de estacionamento de veículos</t>
  </si>
  <si>
    <t>BLOCO NORDESTE</t>
  </si>
  <si>
    <t>BLOCO ACRE + AMAZONAS</t>
  </si>
  <si>
    <t>BLOCO RONDÔNIA</t>
  </si>
  <si>
    <t>BLOCO MATO GROSSO - 2</t>
  </si>
  <si>
    <t>BLOCO PARÁ - 3</t>
  </si>
  <si>
    <t>BLOCO AMAZONAS - 2</t>
  </si>
  <si>
    <t>BLOCO MARANHÃO + TOCANTINS</t>
  </si>
  <si>
    <t>CE e NE</t>
  </si>
  <si>
    <t>TOTAL (30 ANOS)</t>
  </si>
  <si>
    <t>Filtrado e atualizado a partir dos cálculos da aba "Resumo atualizações"</t>
  </si>
  <si>
    <t>FAIXA INFRA</t>
  </si>
  <si>
    <t>SNTL</t>
  </si>
  <si>
    <t>SN6L</t>
  </si>
  <si>
    <t>SSMH</t>
  </si>
  <si>
    <r>
      <t xml:space="preserve">Para a elaboração desta planilha, utilizou-se como base o </t>
    </r>
    <r>
      <rPr>
        <b/>
        <sz val="11"/>
        <color theme="1"/>
        <rFont val="Aptos Narrow"/>
        <family val="2"/>
        <scheme val="minor"/>
      </rPr>
      <t>Plano Aeroviário Nacional (PAN)</t>
    </r>
    <r>
      <rPr>
        <sz val="11"/>
        <color theme="1"/>
        <rFont val="Aptos Narrow"/>
        <family val="2"/>
        <scheme val="minor"/>
      </rPr>
      <t xml:space="preserve">, principal estudo do Programa de Investimentos Privados em Aeroportos Regionais. O PAN apresenta os aeroportos prioritários para alocação de recursos, projeções de demanda, análise estratégica de investimentos, custos operacionais e receitas associadas a cada infraestrutura aeroportuária. Após quatro anos de sua primeira edição, o plano foi revisado e submetido à consulta pública, disponível em: Plano Aeroviário Nacional - MPor &lt;https://www.gov.br/portos-e-aeroportos/pt-br/assuntos/transporte-aereo/plano-aeroviario-nacional&gt;. Todos os documentos do PAN são públicos e podem ser acessados pelo link acima ou por meio dos processos administrativos no MPor.
O PAN foi utilizado como referência para estimar os valores de capital expenditure (CAPEX), operational expenditure (OPEX) e receitas de cada aeroporto. Esses dados subsidiam a definição dos fluxos de caixa anuais, que embasarão a apresentação de propostas no Processo Competitivo Simplificado. 
A estrutura da planilha foi construída com base nos simuladores de custos, receitas e investimentos desenvolvidos pelo </t>
    </r>
    <r>
      <rPr>
        <b/>
        <sz val="11"/>
        <color theme="1"/>
        <rFont val="Aptos Narrow"/>
        <family val="2"/>
        <scheme val="minor"/>
      </rPr>
      <t>Laboratório de Transportes e Logística (LabTrans)</t>
    </r>
    <r>
      <rPr>
        <sz val="11"/>
        <color theme="1"/>
        <rFont val="Aptos Narrow"/>
        <family val="2"/>
        <scheme val="minor"/>
      </rPr>
      <t xml:space="preserve"> da Universidade Federal de Santa Catarina (UFSC), no âmbito do PAN. A modelagem foi ajustada pontualmente pela equipe técnica da SAC/MPor.
Considerando que as estimativas do PAN não contemplam integralmente o escopo de investimentos necessários à adequação dos aeroportos, nem as particularidades logísticas de cada região, aplicou-se um fator multiplicador entre 1,2 e 1,8 ao CAPEX de adequação, conforme indicado na aba “CAPEX – PAN” da planilha. Essa metodologia está fundamentada nas Notas Técnicas nº 108/2024/DOPR-SAC-MPOR (SEI nº 8596278) e nº 35/2025/DOPR-SAC-MPOR (SEI nº 9549448).
Após a Consulta Pública, todas as contribuições recebidas por meio da plataforma Participa + Brasil &lt;https://www.gov.br/participamaisbrasil/consulta-ampliar&gt; foram analisadas e respondidas. Como um dos resultados, definiu-se que os aeroportos serão ofertados individualmente. Assim, os cálculos foram realizados separadamente para os 19 aeroportos, gerando os seguintes resultados:
a) Estimativas de investimento em infraestrutura aeroportuária: pista de pouso e decolagem (PPD), área de segurança de fim de pista (RESA), faixa de pista, taxiways, pátio de aeronaves, terminal de passageiros (TPS), estacionamento de veículos e auxílios à navegação aérea;
b) Custos de manutenção: PPD, taxiways, pátio de aeronaves e estacionamento;
c) Custos mínimos de operação (OPEX);
d) Estimativas de receitas;
e) Resultado operacional anual, com projeção de receitas, custos e resultado líquido ao longo do horizonte de planejamento.
As premissas adotadas estão detalhadas nas abas “Premissas Gerais” e “Premissas - CAPEX_Manutenção”.
As informações consolidadas foram organizadas na aba </t>
    </r>
    <r>
      <rPr>
        <b/>
        <sz val="11"/>
        <color theme="1"/>
        <rFont val="Aptos Narrow"/>
        <family val="2"/>
        <scheme val="minor"/>
      </rPr>
      <t>"FLUXO DE CAIXA NOM. - DETALHADO"</t>
    </r>
    <r>
      <rPr>
        <sz val="11"/>
        <color theme="1"/>
        <rFont val="Aptos Narrow"/>
        <family val="2"/>
        <scheme val="minor"/>
      </rPr>
      <t xml:space="preserve">, contendo os dados de receitas, CAPEX e OPEX anuais de todos os aeroportos regionais selecionados após a consulta pública. A partir dessa fase, a variável de escolha no Processo Competitivo Simplificado passou a ser o </t>
    </r>
    <r>
      <rPr>
        <b/>
        <sz val="11"/>
        <color theme="1"/>
        <rFont val="Aptos Narrow"/>
        <family val="2"/>
        <scheme val="minor"/>
      </rPr>
      <t>maior deságio percentual</t>
    </r>
    <r>
      <rPr>
        <sz val="11"/>
        <color theme="1"/>
        <rFont val="Aptos Narrow"/>
        <family val="2"/>
        <scheme val="minor"/>
      </rPr>
      <t xml:space="preserve"> aplicado a cada aeroporto sobre os parâmetros anuais calculados (receita, CAPEX e OPEX), conforme o tempo remanescente do contrato de concessão vigente, incluindo eventuais prorrogações.
Por exemplo, se a concessionária possuir 15 anos de contrato remanescente no momento da assinatura do termo aditivo e oferecer um deságio de 10%, o reequilíbrio será calculado considerando essa redução percentual para TODOS OS ANOS DO PERÍODO, conforme registrado na aba “FLUXO DE CAIXA NOM. - DETALHADO”.
Após a seleção, caberá à ANAC calcular o reequilíbrio econômico-financeiro necessário para cada contrato, com base no deságio proposto e no prazo contratual remanescente à época da assinatura do termo aditivo.
Por fim, ressalta-se que </t>
    </r>
    <r>
      <rPr>
        <b/>
        <sz val="11"/>
        <color theme="1"/>
        <rFont val="Aptos Narrow"/>
        <family val="2"/>
        <scheme val="minor"/>
      </rPr>
      <t>as disposições do edital prevalecem sobre quaisquer informações constantes desta planilha.</t>
    </r>
  </si>
  <si>
    <t>FLUXO DE CAIXA NOM.- DETALHADO'!A1</t>
  </si>
  <si>
    <t>CAPEX - PAN (ANO A ANO)'!A1</t>
  </si>
  <si>
    <t>MODELO ECONÔMICO FINANCEIRO SIMPLIFICADO - AMPLIAR</t>
  </si>
  <si>
    <t>PAX 2024 - Proj PAN</t>
  </si>
  <si>
    <t>PREMISSAS E PROCEDIMENTOS METODOLÓGICOS PARA OS CÁLCULOS NAS FERRAMENTAS DE SIMULAÇÃO DE CUSTOS
SOBRE ESTA ABA
1.	Este documento apresenta detalhes das premissas e procedimentos metodológicos para os cálculos nas ferramentas de simulação de cenários utilizados pelo LabTrans/UFSC no processo de precificação dos aeroportos do programa Ampliar.
2.	O cálculo foi executado para o escopo dos aeroportos prioridazados para a primeira rodada do AmpliAR, no total de 19 aeroportos.
3.	As ferramentas utilizadas foram:
a.	SACII - Simulador Investimento_AmpliAR_CAPEX-3.1: Para cálculo dos custos de investimento no desenvolvimento ou ampliação de PPD, RESA, Faixa de Pista, Taxiway, Pátio de aeronaves, TPS, Estacionamento de Veículos, Equipamento de auxílio a navegação aérea (luzes de pista e taxiway);
b.	SACII - Simulador Investimento_AmpliAR_CAPEX-3.1: Ferramenta agregada ao Simulador de investimentos atualizada para cálculo e apresentação dos custos de manutenção de PPD, Taxiway, e Pátio de aeronaves;
c.	SACIII-Simulação em rede_v1.1_OPEX_AmpliAR_v3: Para cálculo de resultado operacional (custos mínimos e receitas aeroportuárias) dos aeroportos do escopo do AmpliAR a cada ano do horizonte de planejamento estipulado;
d.	Planilha_NavAerea_AmpliAR_v1: Para cálculo dos custos de aquisição e instalação de equipamentos de navegação área dos aeroportos do escopo do AmpliAR.
4.	Os cálculos, utilizando as ferramentas de simulação, fornecem os seguintes resultados:
a.	Custo de investimento em infraestrutura aeroportuária: PPD, RESA, Faixa de Pista, Taxiway, Pátio de aeronaves, TPS, Estacionamento de Veículos, Equipamento de auxílio a navegação aérea (luzes de pista e taxiway);
b.	Custos de manutenção em infraestrutura aeroportuária: PPD, Taxiway, Pátio, Desemborrachamento.
c.	Resultado operacional dos aeroportos: Resultado da previsão de receitas, custos, e resultado operacional;
d.	Custos de investimento em equipamentos de navegação aérea: Resultado dos custos para aquisição e instalação de equipamentos de navegação aérea;
e.	Arquivo KMZ com as layers da infraestrutura aeroportuária para o grupo de 19 aeroportos elencados pela SAC/MPor.
PREMISSAS GERAIS
5.	Efetuou-se uma segunda rodada de atualização visual, a partir de imagens google earth mais recentes para validação do CAPEX de Pista, Taxiway, Pátio, TPS e Estacionamento de veículos.
1-	CAPEX
1.	A simulação de custos de CAPEX dos aeroportos no âmbito do AmpliAR leva em consideração intervenções de acordo com as faixas de evolução de infraestrutura para o horizonte de planejamento estipulado, de acordo com as premissas e procedimentos elencados nesta aba.
2.	A simulação de custos de CAPEX dos aeroportos no âmbito do AmpliAR apresenta o cálculo dos custos de investimento no desenvolvimento ou ampliação de PPD, RESA, Faixa de Pista, Taxiway, Pátio de aeronaves, TPS, Estacionamento de Veículos, Equipamento de auxílio a navegação aérea (luzes de pista e taxi).
3.	A Atualização dos cálculos na ferramenta “CAPEX” para os aeroportos do escopo levou em consideração:
a.	Atualização da base de valores de infra pelo SICRO de janeiro de 2025
b.	Atualização dos valores da Edificação do TPS para Jan/25 pelo índice de reajustamento do INCC
c.	Os requisitos de infraestrutura estabelecidos pela ANAC no termo aditivo, em especial a Tabela MIL, conforme disposto na Portaria nº 9.249/SIA/ANAC, de 22 de setembro de 2022 e as metragens mínimas estabelecidas para os componentes do TPS. Ainda, que o CAPEX de adequação será realizado nos 3 primeiros anos do horizonte de planejamento;
d.	Para a garantia de evolução do aeroporto à faixa adequada, será observado que o aeroporto não pode ter previsão de faixa de infraestrutura futura menor que a faixa correspondente da movimentação média dos últimos 3 anos (2022,2023,2024);
e.	Para o cálculo de TPS:
i.	Premissa geral: inserção como custo, de metade do valor de construção para as áreas existentes, considerando possíveis adequações/reformas que serão necessárias, além dos equipamentos que não são precificados;
ii.	Para os aeroportos onde há conhecimento de investimentos recentes em TPS, inserção como custo, da métrica de 1/3 do valor de construção (Cacoal, Barcelos, Vilhena, Itaituba, Paulo Afonso, Barreirinhas e Garanhuns).
4.	Em relação as premissas quanto ao cálculo da ferramenta “CAPEX”, cabe especificar:
a.	As metragens totais de TPS, não consideram metragem de áreas comerciais e administrativas
b.	Utilizou-se de observação visual de imagens google earth mais recentes para validação das necessidades de expansão da infraestrutura no cenário de adequação;
c.	Considerou-se a necessidade de uma única taxiway de acesso ao pátio de aeronaves;
d.	O simulador de estimativa de investimentos em infraestrutura aeroportuária incorpora serviços de drenagem na composição de serviços, conforme a licitação de referência adotada nos serviços do componente. No momento em que o simulador identifica uma necessidade de aumento de área da PPD, também é contemplado os custos relativos aos serviços de drenagem.
5.	A simulação de custos de CAPEX dos aeroportos no âmbito do AmpliAR NÃO efetua os respectivos cálculos:
a.	Cerca patrimonial
b.	Cerca operacional
c.	Terraplanagem: As estimativas de custos de terraplenagem do simulador estão atreladas ao tipo de relevo, segundo a classificação do DNIT, utilizados em cada um dos aeródromos. Em virtude da complexidade de avaliação do relevo no entorno dos componentes aeroportuários por imagem de satélite, o tipo de relevo considerado nos aeródromos do AmpliAR foi o "Plano", em que a movimentação de corte e aterro é pequena.
d.	Avaliação de ampliação de área patrimonial
e.	Desapropriação
f.	Passivos ambientais
g.	Demolição
h.	Supressão de vegetação em faixa de pista
i.	Luzes verticais de pátio (postes). Hoje o simulador somente contempla sinalização horizontal de PPD e taxi
j.	Custos de cabeamento e casa de força para luzes de pista
6.	Por indicação da SAC/MPor, considerando investimentos recentes realizados através do Departamento de Investimentos da SAC, foram adotadas as seguintes premissas: 
a.	Serra Talhada (PE) | SNHS: 
i.	Considerar o PCN da PPD adequado para aeronave crítica 3C/ ERJ 195 E2; 
ii.	Considerar como informação de infraestrutura atual de pátio de estacionamento de aeronaves: 130mx95m (1 posição 3C e 8 posições para aviação geral, 2 código B e 6 código A);
b.	São Raimundo Nonato (PI) | SWKQ: 
i.	Considerar o PCN da PPD adequado para aeronave crítica 3C.
c.	Araguaína (TO) | SWGN: 
i.	Considerar o PCN da PPD adequado para aeronave crítica 3C/B-737-800.
d.	Cacoal (RO) | SSKW: 
7. Para os Aeroportos de Serra Talhada (SNHS), São Raimundo Nonato (SWKQ) e Aracati (SBAC), será exigida a manutenção do PCN atual da infraestrutura existente. No caso de SNHS e SWKQ, considerando que a infraestrutura atual já supera os requisitos projetados na faixa de evolução do PAN para os próximos 30 anos, optou-se por preservar a exigência de manutenção dessa capacidade instalada como forma de garantir a continuidade das operações e evitar retrocessos em termos de desempenho da infraestrutura.
8. Em relação ao Aeroporto de Aracati, sua infraestrutura atual permite a operação de aeronaves a jato, como os Embraer E195-E2. Considerou-se que os investimentos necessários para adequar o aeroporto a aeronaves com exigências superiores não apresentariam uma relação custo-benefício favorável, razão pela qual se decidiu pela exigência de manutenção das condições operacionais existentes. 
2-	Manutenção
1.	A simulação de custos de manutenção dos aeroportos no âmbito do AmpliAR leva em consideração intervenções em Pista, Taxiway, Pátio, e desemborrachamento, para o horizonte de planejamento estipulado, de acordo com as premissas e procedimentos elencados nesta aba.
2.	Das manutenções simuladas para PPD e Taxiway:
a.	Flexível 1: Selagem de trincas
b.	Flexível 2: Recapeamento asfáltico
c.	Flexível 3: Reconstrução parcial
d.	Desemborrachamento (Considerado apenas para PPD)
3.	Das manutenções simuladas para Pátio de aeronaves
a.	Rígido 1: Selagem de trincas e resselagem de juntas
b.	Rígido 2: Substituição de placas
4.	Consideração para as manutenções: Quantitativo de metro linear para a Man. 1 e metro quadrado para a Man. 2 e 3.
a.	Para PPD: considerou-se o comprimento da pista para quantificação da Man. Flexível 1, e o metro quadrado total da pista para a Man. Flexível 2 e 3;
b.	Para Taxiway: considerou-se a metade do valor do metro quadrado total da taxiway para quantificação da Man. Flexível 1, e o metro quadrado total da taxiway para a Man. Flexível 2 e 3;
c.	Para Pátio: considerou-se a metade do valor do metro quadrado total do pátio para quantificação da Man. Rígida 1, e o metro quadrado total do pátio para a Man. Rígida 2.
5.	Valores de movimentação anual utilizados são referentes à média do número de movimentos de aeronaves de 2019 a 2023 (desconsiderando 2020 - ano de pandemia) da aviação comercial (Dados Estatísticos - ANAC) e aviação geral (BIMTRA-DECEA), excluindo os movimentos da aviação militar.
6.	Na aba Manutenção (arquivos “A25-M05-D29_Manutenção-PPD_AmpliAR_vrs3.1”, “A25-M05-D29_Manutenção-PTR_AmpliAR_vrs3.1”, “A25-M05-D29_Manutenção-Pátio_AmpliAR_vrs3.1”, foram consideradas apenas as questões relativas ao suporte do pavimento para o preenchimento das aeronaves críticas.
7.	O campo aeronave crítica foi calculado com base na comparação entre o PCN apresentado no ROTAER (DECEA) – proveniente da entrega da base de dados da lista de aeroportos, em outubro de 2024 (Produto 1.6) – e o ACN das aeronaves existentes nos simuladores, sendo o ACN equivalente ao peso de, no mínimo, 90% do PMD da aeronave.
a.	Não foram considerados os aspectos geométricos das aeronaves para a verificação do comprimento de pista e da largura da pista.
8.	Os cálculos de desemborrachamento foram realizados com o uso da planilha ÁBACO ORÇAMENTO REMOÇÃO (SAC).xlsx, elaborada pela Infraero.
9.	As distâncias apresentadas na aba “Desemborrachamento” são referentes à menor distância geográfica (euclidiana) entre SBSP, SBRF e SBBR até o aeródromo em questão.
a.	As Distâncias foram calculadas através de consulta ao GPT4 &lt; https://chatgpt.com/&gt; "Calcular distâncias geodésicas entre cada aeroporto da lista e os aeroportos SBSP (Congonhas), SBRF (Recife) e SBBR (Brasília), incluindo qual deles está mais próximo:"
10.	Ano da manutenção
a.	Quando não há adequação ou evolução de faixa de infraestrutura
i.	Flexível 1: 5° ano / 8° ano / 15° ano / 18° ano / 25° ano / 28° ano
ii.	Flexível 2: 1° ano / 10° ano / 20° ano
iii.	Flexível 3: 1° ano / 20° ano – A depender do estado de pavimento informado
iv.	Rígido 1: 5° ano / 8° ano / 10° ano /15° ano / 18° ano / 20° ano / 25° ano / 28° ano
v.	Rígido 2: 1° ano
b.	Quando há adequação ou evolução de faixa de infraestrutura
i.	Sem manutenção: 1° ano
c.	Desemborrachamento: Somente para aeroportos da Faixa 3 em diante. A cada dois anos, considerando os aeroportos do escopo como Faixa 1 para Frequência mínima de remoção do acúmulo de borracha (720 dias), conforme tabela 153.205-8 da RBAC Nº 153 EMD 04.
11.	PPD e Taxiway
a.	Os aeroportos que tiveram reforço de pavimento para a nova aeronave crítica da faixa de infraestrutura, ou foram objeto de intervenções recentes na PPD e Taxiway, não precisam efetuar manutenção flexível no primeiro ano de operação, são eles:
i.	SNHS - Serra Talhada
ii.	SWBC - Barcelos 
iii.	SSRS -	Barreirinhas
iv.	SBIC - Itacoatiara
v.	SBIH -	Itaituba
vi.	SBTK -	Tarauacá
vii.	SBUF - Paulo Afonso
viii.	SNGI -	 Guanambi
ix.	SSKW - Cacoal 
x.	SWKQ - São Raimundo Nonato  
xi.	SWPI - Parintins
xii.	SBAC - Aracati
b.	Para os demais aeroportos, a manutenção de PPD e Taxiway seguem como flexível 2 no primeiro ano de operação. Os aeroportos identificados são:
i.	SBVH - Vilhena
ii.	SWGN - Araguaína
iii.	SNAB - Ararapina
iv.	SBLE - Lençóis 
v.	SDH2 - Porto Alegre do Norte
vi.	SBJE – Cruz
vii.	SNGN - Garanhuns
12.	Pátio
a.	Considerado para o ano 1 de manutenção apenas a metragem de pátio existente.
b.	Não considerar manutenção no ano 1 e considerar metade do valor do Rígido 2 no ano 15, para os seguintes aeródromos:
i.	SNHS - Serra Talhada
ii.	SWBC - Barcelos 
iii.	SSRS -	Barreirinhas
iv.	SBIC - Itacoatiara
v.	SBIH -	Itaituba
vi.	SBTK -	Tarauacá
vii.	SBUF - Paulo Afonso
viii.	SNGI -	 Guanambi
ix.	SSKW - Cacoal 
x.	SWKQ - São Raimundo Nonato  
xi.	SWPI - Parintins
xii.	SBAC - Aracati
c.	Para os demais aeródromos, o CAPEX de manutenção de Pátio segue como metade do valor do Rígido 2 no ano 1 e no ano 15:
i.	SBVH - Vilhena
ii.	SWGN - Araguaína
iii.	SNAB - Ararapina
iv.	SBLE - Lençóis 
v.	SDH2 - Porto Alegre do Norte
vi.	SBJE – Cruz
vii.	SNGN - Garanhuns
3-	Navegação Aérea
1.	A simulação de custos de investimento em equipamentos de Navegação Aérea dos aeroportos no âmbito do AmpliAR leva em consideração intervenções de acordo com as faixas de evolução de infraestrutura, para o horizonte de planejamento estipulado, de acordo com as premissas e procedimentos elencados nesta aba.
2.	Foram consideradas as evoluções das faixas de infraestrutura do PAN, no caso dos aeroportos do Cenário Desenvolvimento, e pelo menos adequação à Faixa 0, no caso dos aeroportos do Cenário Estratégico, respeitando também, as especificações contidas nesta aba “SEI_8823336_Anexo_4_ANAC”.
a.	Atualização dos componentes de cada faixa de acordo com o anexo 4 (IFR NPA a partir da Faixa 1 e PAPI a partir da Faixa 1);
b.	PAPI na cabeceira predominante;
c.	Não necessidade de EMS
3.	Atualização da Ferramenta CAPEX para os seguintes custos:
a.	SICRO: Jan/2025
b.	PAPI (incluindo custo de implantação), EMS, biruta iluminada e farol rotativo (de acordo com o INCC);
4.	Do histórico de movimentação e da projeção de demanda: 
a.	Utilizou-se a projeção de demanda desenvolvida em conjunto com o LabTrans/UFSC, de julho de 2024, pré-publicação do PAN apresentada na consulta pública
b.	Atualização de movimentos de aeronaves comerciais pelo Hórus para os anos de 2019, 2022 e 2023;
c.	Atualização de movimentos de aeronaves da aviação geral conforme o BIMTRA para os anos de 2019, 2022 e 2023.
4-	OPEX
1.	A simulação de “custos de OPEX” dos aeroportos no âmbito do AmpliAR leva em consideração a operação aeroportuária em relação demanda projetada e os parâmetros por faixa de porte operacional para o horizonte de planejamento estipulado, de acordo com as premissas e procedimentos elencados nesta aba.
2.	A Ferramenta OPEX calcula o resultado da operação aeroportuária, ano a ano, levando em consideração as receitas (aeronáuticas e não aeronáuticas ou comerciais) e os custos mínimos aeroportuários (custos mínimos para operação levando-se em conta os requisitos organizacionais e de regulamento do setor).
3.	A Ferramenta OPEX levou em consideração as seguintes bases referenciais de custos:
a.	CAGED: 2024, ocupações e salários dos funcionários do aeródromo;
b.	PORTARIA Nº 15275/SRA, DE 21 DE AGOSTO DE 2024: para tarifas aplicadas pelo operador na remuneração de serviços aeroportuários.
i.	As especificações dos valores utilizados estão na aba “4.Regulamentos” do arquivo "A25-M05-D23_OPEX_AmpliAR_vrs2.0”;
c.	Cotação do Dólar: Banco Central do Brasil, 11/03/2025;
d.	Mix de aeronaves da aviação geral, elaborada com base nas movimentações dos aeródromos de interesse de acordo com o BIMTRA 2023;
4.	Dos parâmetros do Simulador:
a.	Definido que 100% da aviação comercial para aeroportos de Faixa 0 seja realizada por aeronaves do modelo Cessna C208 Grand Caravan;
b.	Alteração no pessoal mínimo de AVSEC para as Faixas 0, 1, 2 e 3, conforme o IAC 107-1004A, para melhorar a precisão das despesas operacionais com esse sistema.
c.	Considerado equipe de SESCINC (turnos de 12hx24h) operando nos seguintes aeroportos:
i.	SWPI - Parintins (Classe II - Cat V)
ii.	SSKW - Cacoal (Classe II – Cat V)
iii.	SBVH - Vilhena (Classe II – Cat V)
iv.	SBIH -	Itaituba (Classe II – Cat V)
v.	SWGN - Araguaína (Classe II – Cat V)
vi.	SBJE - Cruz (Classe II – Cat VI)
vii.	SBAC - Aracati (Classe II – Cat V)
5.	Da projeção de demanda: 
a.	Utilizou-se a projeção de demanda desenvolvida em conjunto com o LabTrans/UFSC, de julho de 2024, pré-publicação do PAN apresentada na consulta pública;
6.	As premissas de custos mínimos por faixa de porte operacional são referenciadas no Apêndice 2 desta aba “F1_Notas metodológicas_vrs1.2”, no anexo VIII do PAN); e também se encontram na aba “Classificação-Faixas PAN“ do arquivo “SACIII-Simulação em rede_v1.1_OPEX_AmpliAR_v3”.
7.	Devido a fase inicial de obras, foi considerado redução de 50% na receita da operação aeroportuária nos anos de intervenção na infraestrutura nos três primeiros anos do horizonte de planejamento. Conforme coluna “Resultado com intervenção” do arquivo “A25-M05-D27_OPEX_AmpliAR_vrs3.2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</si>
</sst>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&quot;R$&quot;\ * #,##0_-;\-&quot;R$&quot;\ * #,##0_-;_-&quot;R$&quot;\ * &quot;-&quot;??_-;_-@_-"/>
    <numFmt numFmtId="166" formatCode="_-* #,##0_-;\-* #,##0_-;_-* &quot;-&quot;??_-;_-@_-"/>
    <numFmt numFmtId="167" formatCode="[$R$-416]\ #,##0.00;[Red]\-[$R$-416]\ #,##0.00"/>
    <numFmt numFmtId="168" formatCode="&quot;R$&quot;\ #,##0"/>
    <numFmt numFmtId="169" formatCode="#,###\ &quot;m²&quot;"/>
    <numFmt numFmtId="170" formatCode="_-[$R$-416]\ * #,##0.0_-;\-[$R$-416]\ * #,##0.0_-;_-[$R$-416]\ 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b/>
      <sz val="9"/>
      <color indexed="81"/>
      <name val="Segoe UI"/>
      <family val="2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11"/>
      <color theme="6"/>
      <name val="Aptos Narrow"/>
      <family val="2"/>
      <scheme val="minor"/>
    </font>
    <font>
      <sz val="11"/>
      <color rgb="FFEE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6C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26D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80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0" applyNumberFormat="1"/>
    <xf numFmtId="44" fontId="2" fillId="0" borderId="0" xfId="0" applyNumberFormat="1" applyFont="1"/>
    <xf numFmtId="165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/>
    <xf numFmtId="0" fontId="2" fillId="0" borderId="0" xfId="0" applyFont="1" applyAlignment="1">
      <alignment horizontal="left" vertical="center"/>
    </xf>
    <xf numFmtId="10" fontId="2" fillId="0" borderId="0" xfId="0" applyNumberFormat="1" applyFont="1"/>
    <xf numFmtId="0" fontId="2" fillId="0" borderId="0" xfId="0" applyFont="1" applyAlignment="1">
      <alignment horizontal="right"/>
    </xf>
    <xf numFmtId="166" fontId="0" fillId="0" borderId="0" xfId="1" applyNumberFormat="1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8" fillId="0" borderId="0" xfId="2"/>
    <xf numFmtId="0" fontId="9" fillId="2" borderId="0" xfId="0" applyFont="1" applyFill="1"/>
    <xf numFmtId="166" fontId="2" fillId="0" borderId="0" xfId="0" applyNumberFormat="1" applyFont="1"/>
    <xf numFmtId="0" fontId="6" fillId="0" borderId="0" xfId="0" applyFont="1"/>
    <xf numFmtId="164" fontId="2" fillId="0" borderId="0" xfId="0" applyNumberFormat="1" applyFont="1"/>
    <xf numFmtId="16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167" fontId="4" fillId="0" borderId="0" xfId="0" applyNumberFormat="1" applyFont="1"/>
    <xf numFmtId="0" fontId="2" fillId="3" borderId="0" xfId="0" applyFont="1" applyFill="1"/>
    <xf numFmtId="0" fontId="0" fillId="4" borderId="0" xfId="0" applyFill="1"/>
    <xf numFmtId="0" fontId="10" fillId="5" borderId="0" xfId="0" applyFont="1" applyFill="1"/>
    <xf numFmtId="0" fontId="0" fillId="6" borderId="0" xfId="0" applyFill="1"/>
    <xf numFmtId="0" fontId="2" fillId="7" borderId="0" xfId="0" applyFont="1" applyFill="1"/>
    <xf numFmtId="0" fontId="0" fillId="7" borderId="0" xfId="0" applyFill="1"/>
    <xf numFmtId="0" fontId="1" fillId="4" borderId="0" xfId="0" applyFont="1" applyFill="1"/>
    <xf numFmtId="0" fontId="11" fillId="5" borderId="0" xfId="0" applyFont="1" applyFill="1"/>
    <xf numFmtId="0" fontId="2" fillId="4" borderId="0" xfId="0" applyFont="1" applyFill="1"/>
    <xf numFmtId="168" fontId="11" fillId="5" borderId="0" xfId="0" applyNumberFormat="1" applyFont="1" applyFill="1"/>
    <xf numFmtId="168" fontId="0" fillId="0" borderId="0" xfId="0" applyNumberFormat="1"/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left" vertical="center"/>
    </xf>
    <xf numFmtId="16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169" fontId="0" fillId="0" borderId="0" xfId="0" applyNumberFormat="1"/>
    <xf numFmtId="0" fontId="0" fillId="8" borderId="0" xfId="0" applyFill="1"/>
    <xf numFmtId="168" fontId="0" fillId="8" borderId="0" xfId="0" applyNumberFormat="1" applyFill="1"/>
    <xf numFmtId="0" fontId="7" fillId="0" borderId="0" xfId="0" applyFont="1" applyAlignment="1">
      <alignment horizontal="center"/>
    </xf>
    <xf numFmtId="165" fontId="2" fillId="0" borderId="0" xfId="0" applyNumberFormat="1" applyFont="1"/>
    <xf numFmtId="44" fontId="0" fillId="0" borderId="0" xfId="3" applyFont="1"/>
    <xf numFmtId="44" fontId="0" fillId="0" borderId="0" xfId="3" applyFont="1" applyAlignment="1">
      <alignment horizontal="right" vertical="center"/>
    </xf>
    <xf numFmtId="44" fontId="0" fillId="0" borderId="0" xfId="3" applyFont="1" applyAlignment="1">
      <alignment horizontal="left" vertical="center"/>
    </xf>
    <xf numFmtId="44" fontId="0" fillId="0" borderId="0" xfId="3" applyFont="1" applyAlignment="1">
      <alignment horizontal="right"/>
    </xf>
    <xf numFmtId="0" fontId="13" fillId="0" borderId="0" xfId="0" applyFont="1"/>
    <xf numFmtId="0" fontId="0" fillId="0" borderId="0" xfId="0" applyAlignment="1">
      <alignment horizontal="left" indent="3"/>
    </xf>
    <xf numFmtId="5" fontId="0" fillId="0" borderId="0" xfId="0" applyNumberFormat="1"/>
    <xf numFmtId="5" fontId="2" fillId="0" borderId="0" xfId="0" applyNumberFormat="1" applyFont="1"/>
    <xf numFmtId="0" fontId="1" fillId="0" borderId="0" xfId="0" applyFont="1"/>
    <xf numFmtId="167" fontId="16" fillId="0" borderId="0" xfId="0" applyNumberFormat="1" applyFont="1"/>
    <xf numFmtId="168" fontId="2" fillId="3" borderId="0" xfId="3" applyNumberFormat="1" applyFont="1" applyFill="1"/>
    <xf numFmtId="0" fontId="4" fillId="0" borderId="0" xfId="0" applyFont="1" applyAlignment="1">
      <alignment horizontal="center" vertical="center"/>
    </xf>
    <xf numFmtId="170" fontId="0" fillId="0" borderId="0" xfId="0" applyNumberFormat="1"/>
    <xf numFmtId="2" fontId="0" fillId="0" borderId="0" xfId="0" applyNumberFormat="1"/>
    <xf numFmtId="164" fontId="4" fillId="0" borderId="0" xfId="0" applyNumberFormat="1" applyFont="1"/>
    <xf numFmtId="0" fontId="17" fillId="0" borderId="0" xfId="0" applyFont="1"/>
    <xf numFmtId="0" fontId="8" fillId="2" borderId="0" xfId="2" quotePrefix="1" applyFill="1"/>
    <xf numFmtId="0" fontId="3" fillId="0" borderId="0" xfId="0" applyFont="1" applyAlignment="1">
      <alignment horizontal="left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8" fillId="2" borderId="0" xfId="2" quotePrefix="1" applyFill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</cellXfs>
  <cellStyles count="4">
    <cellStyle name="Hiperlink" xfId="2" builtinId="8"/>
    <cellStyle name="Moeda" xfId="3" builtinId="4"/>
    <cellStyle name="Normal" xfId="0" builtinId="0"/>
    <cellStyle name="Vírgula" xfId="1" builtinId="3"/>
  </cellStyles>
  <dxfs count="12">
    <dxf>
      <font>
        <b/>
        <i val="0"/>
        <color rgb="FF00B05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externalLink" Target="externalLinks/externalLink14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fraestrutura-my.sharepoint.com/Users/rafael.ecco/Desktop/SACII%20-%20Simulador%20Investimento_vrs%201.2.4%20-%20Copia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.tristao\Downloads\Processo%20Competitivo%20Simplificado%20-%20Aeroportos%20Regionais%20-%20PAN%20Novo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https://minfraestrutura-my.sharepoint.com/personal/fabio_arruda_mpor_gov_br/Documents/Documentos/Processo%20Competitivo%20Simplificado%20-%20PCS%20-%202024/Processo%20Competitivo%20Simplificado%20-%20Aeroportos%20Regionais%20-%20PAN%20Novo%20-%20Com%20Oiapoque%20-%2005122024.xlsx?8722D6BC" TargetMode="External"/><Relationship Id="rId1" Type="http://schemas.openxmlformats.org/officeDocument/2006/relationships/externalLinkPath" Target="file:///\\8722D6BC\Processo%20Competitivo%20Simplificado%20-%20Aeroportos%20Regionais%20-%20PAN%20Novo%20-%20Com%20Oiapoque%20-%200512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-gtl.labtrans.ufsc.br\2024_saciii$\03.%20A&#231;&#227;o\01.%20A&#231;&#227;o%201%20-%20Apoio%20PAN%20e%20indicadores\1.%20Demanda%20Extra\A25-M05-D12_AmpliAR_vrs3.0\1.%20CAPEX%203.0\CAPEX_AmpliAR_v3.1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-gtl.labtrans.ufsc.br\2024_saciii$\03.%20A&#231;&#227;o\01.%20A&#231;&#227;o%201%20-%20Apoio%20PAN%20e%20indicadores\1.%20Demanda%20Extra\A25-M03-D27_AmpliAR_vrs2.0\3.%20Entregas\A25-M04-D11_Entrega%203\A25-M04-D11_AmpliAR_CAPEX-2.0_Entrega%20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IO~1\AppData\Local\Temp\Rar$DIa6376.15692\A25-M05-D25_Manuten&#231;&#227;o-Desemborrachamento_AmpliAR_vrs3.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fael.ecco\Desktop\SACII%20-%20Simulador%20Investimento_vrs%201.2.4%20-%20Copia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minfraestrutura-my.sharepoint.com/personal/fabio_arruda_mpor_gov_br/Documents/Documentos/Processo%20Competitivo%20Simplificado%20-%20PCS%20-%202024/PAN%20-%20UFSC/25062025/9.Entrega%20Informa&#231;&#245;es%202.1_&amp;_OPEX%203.3/SACIII-Simula&#231;&#227;o%20em%20rede_v1.1_OPEX_AmpliAR_v3.3%20.xlsm?2D38AA5F" TargetMode="External"/><Relationship Id="rId1" Type="http://schemas.openxmlformats.org/officeDocument/2006/relationships/externalLinkPath" Target="file:///\\2D38AA5F\SACIII-Simula&#231;&#227;o%20em%20rede_v1.1_OPEX_AmpliAR_v3.3%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io.arruda\AppData\Local\Temp\0e0bf3a9-6b7f-426f-825e-3d875e5a6eab_Entrega%20Item%201_a-b-c_rev.rar.eab\Item1b_SACII_F7-Simula&#231;&#227;o%20em%20rede_v1.1%20ACB_BASE_DESENVOLV1_2_3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https://minfraestrutura-my.sharepoint.com/personal/fabio_arruda_mpor_gov_br/Documents/Documentos/Processo%20Competitivo%20Simplificado%20-%20PCS%20-%202024/PAN%20-%20UFSC/30042025/A25-M04-D30_PREMISSAS-KMZ-SICRO-SIMULADOR_2.0/SACII%20-%20Simulador%20Investimento_vrs%201.3_PreliminarAtualizado_ACB_v2.0.xlsm?EC277639" TargetMode="External"/><Relationship Id="rId1" Type="http://schemas.openxmlformats.org/officeDocument/2006/relationships/externalLinkPath" Target="file:///\\EC277639\SACII%20-%20Simulador%20Investimento_vrs%201.3_PreliminarAtualizado_ACB_v2.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.labtrans.ufsc.br\projetos$\Users\vitoria.giordano\Downloads\SACI4-Simulador%20Financeiro_vrs1.3%20(novo%20m&#233;todo%20ATM%20-%20n&#227;o%20aplicado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ova%20Estrutura%20Rede\Aerovi&#225;rio\Projeto%20SAC%20II\06-Fase2\4.%20M&#233;todo%20de%20Estimativa\02.%20Parametro_Capacidade%20pista\Capacidade%20Pista%20-%20LabTrans_Final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IO~1\AppData\Local\Temp\Rar$DIa11664.28325\SACII%20-%20Simulador%20Investimento_AmpliAR_CAPEX-3.0.xlsm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https://minfraestrutura-my.sharepoint.com/personal/fabio_arruda_mpor_gov_br/Documents/Documentos/Processo%20Competitivo%20Simplificado%20-%20PCS%20-%202024/AMPLIAR%20-%20PCS%20-%20Aeroportos%20Regionais%20-%20Amaz&#244;nia%20Legal%20mais%20Bloco%20Nordeste%20-%20Consulta%20P&#250;blica.xlsx?8722D6BC" TargetMode="External"/><Relationship Id="rId1" Type="http://schemas.openxmlformats.org/officeDocument/2006/relationships/externalLinkPath" Target="file:///\\8722D6BC\AMPLIAR%20-%20PCS%20-%20Aeroportos%20Regionais%20-%20Amaz&#244;nia%20Legal%20mais%20Bloco%20Nordeste%20-%20Consulta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struções"/>
      <sheetName val="1.1 Atualização de Dados"/>
      <sheetName val="2. Simulador - Investimento"/>
      <sheetName val="2. Simulador - Manutenção"/>
      <sheetName val="2.1 BD — Simulações Salvas"/>
      <sheetName val="2.2 Relatório Sintético - Inv"/>
      <sheetName val="3. Simulação em rede"/>
      <sheetName val="3.1 Result. Simul. Rede – Inv."/>
      <sheetName val="3.2 Mapa Coroplético"/>
      <sheetName val="Projeção — Demanda PAX"/>
      <sheetName val="4.1 Glossário"/>
      <sheetName val="4.2 Lista de siglas"/>
      <sheetName val="4.3 Referências"/>
      <sheetName val="Classificação Cenários"/>
      <sheetName val="BD"/>
      <sheetName val="Cálculos da capacidade de pista"/>
      <sheetName val="Dados para capacidade de pista"/>
      <sheetName val="Cálculos - ANAC"/>
      <sheetName val="BD_Cálculos"/>
      <sheetName val="BD — Projeção PAN"/>
      <sheetName val="Pista de Pouso"/>
      <sheetName val="Faixa de Pista"/>
      <sheetName val="RESA"/>
      <sheetName val="Pista de Táxi"/>
      <sheetName val="Pátio de Aeronaves"/>
      <sheetName val="SESCINC"/>
      <sheetName val="Estacionamento de Veículos"/>
      <sheetName val="Terminal de Passageiros"/>
      <sheetName val="Terminal de Cargas"/>
      <sheetName val="Navegação Aérea"/>
      <sheetName val="SACII - Simulador Investimento_"/>
    </sheetNames>
    <sheetDataSet>
      <sheetData sheetId="0" refreshError="1"/>
      <sheetData sheetId="1">
        <row r="5">
          <cell r="B5" t="str">
            <v>AC</v>
          </cell>
          <cell r="C5">
            <v>0.17</v>
          </cell>
        </row>
        <row r="6">
          <cell r="B6" t="str">
            <v>AL</v>
          </cell>
          <cell r="C6">
            <v>0.18</v>
          </cell>
        </row>
        <row r="7">
          <cell r="B7" t="str">
            <v>AM</v>
          </cell>
          <cell r="C7">
            <v>0.18</v>
          </cell>
        </row>
        <row r="8">
          <cell r="B8" t="str">
            <v>AP</v>
          </cell>
          <cell r="C8">
            <v>0.18</v>
          </cell>
        </row>
        <row r="9">
          <cell r="B9" t="str">
            <v>BA</v>
          </cell>
          <cell r="C9">
            <v>0.18</v>
          </cell>
          <cell r="F9">
            <v>6.4999999999999997E-3</v>
          </cell>
        </row>
        <row r="10">
          <cell r="B10" t="str">
            <v>CE</v>
          </cell>
          <cell r="C10">
            <v>0.18</v>
          </cell>
          <cell r="F10">
            <v>0.03</v>
          </cell>
        </row>
        <row r="11">
          <cell r="B11" t="str">
            <v>DF</v>
          </cell>
          <cell r="C11">
            <v>0.18</v>
          </cell>
        </row>
        <row r="12">
          <cell r="B12" t="str">
            <v>ES</v>
          </cell>
          <cell r="C12">
            <v>0.17</v>
          </cell>
          <cell r="G12">
            <v>418.12400000000002</v>
          </cell>
        </row>
        <row r="13">
          <cell r="B13" t="str">
            <v>GO</v>
          </cell>
          <cell r="C13">
            <v>0.17</v>
          </cell>
        </row>
        <row r="14">
          <cell r="B14" t="str">
            <v>MA</v>
          </cell>
          <cell r="C14">
            <v>0.18</v>
          </cell>
        </row>
        <row r="15">
          <cell r="B15" t="str">
            <v>MG</v>
          </cell>
          <cell r="C15">
            <v>0.18</v>
          </cell>
        </row>
        <row r="16">
          <cell r="B16" t="str">
            <v>MS</v>
          </cell>
          <cell r="C16">
            <v>0.17</v>
          </cell>
        </row>
        <row r="17">
          <cell r="B17" t="str">
            <v>MT</v>
          </cell>
          <cell r="C17">
            <v>0.17</v>
          </cell>
        </row>
        <row r="18">
          <cell r="B18" t="str">
            <v>PA</v>
          </cell>
          <cell r="C18">
            <v>0.17</v>
          </cell>
        </row>
        <row r="19">
          <cell r="B19" t="str">
            <v>PB</v>
          </cell>
          <cell r="C19">
            <v>0.18</v>
          </cell>
        </row>
        <row r="20">
          <cell r="B20" t="str">
            <v>PE</v>
          </cell>
          <cell r="C20">
            <v>0.18</v>
          </cell>
        </row>
        <row r="21">
          <cell r="B21" t="str">
            <v>PI</v>
          </cell>
          <cell r="C21">
            <v>0.18</v>
          </cell>
        </row>
        <row r="22">
          <cell r="B22" t="str">
            <v>PR</v>
          </cell>
          <cell r="C22">
            <v>0.18</v>
          </cell>
        </row>
        <row r="23">
          <cell r="B23" t="str">
            <v>RJ</v>
          </cell>
          <cell r="C23">
            <v>0.2</v>
          </cell>
        </row>
        <row r="24">
          <cell r="B24" t="str">
            <v>RN</v>
          </cell>
          <cell r="C24">
            <v>0.18</v>
          </cell>
        </row>
        <row r="25">
          <cell r="B25" t="str">
            <v>RO</v>
          </cell>
          <cell r="C25">
            <v>0.17499999999999999</v>
          </cell>
        </row>
        <row r="26">
          <cell r="B26" t="str">
            <v>RR</v>
          </cell>
          <cell r="C26">
            <v>0.17</v>
          </cell>
        </row>
        <row r="27">
          <cell r="B27" t="str">
            <v>RS</v>
          </cell>
          <cell r="C27">
            <v>0.18</v>
          </cell>
        </row>
        <row r="28">
          <cell r="B28" t="str">
            <v>SC</v>
          </cell>
          <cell r="C28">
            <v>0.17</v>
          </cell>
        </row>
        <row r="29">
          <cell r="B29" t="str">
            <v>SE</v>
          </cell>
          <cell r="C29">
            <v>0.18</v>
          </cell>
        </row>
        <row r="30">
          <cell r="B30" t="str">
            <v>SP</v>
          </cell>
          <cell r="C30">
            <v>0.18</v>
          </cell>
        </row>
        <row r="31">
          <cell r="B31" t="str">
            <v>TO</v>
          </cell>
          <cell r="C31">
            <v>0.18</v>
          </cell>
        </row>
      </sheetData>
      <sheetData sheetId="2">
        <row r="121">
          <cell r="C121" t="str">
            <v>Não</v>
          </cell>
        </row>
        <row r="127">
          <cell r="C127" t="str">
            <v>Não</v>
          </cell>
          <cell r="L127" t="str">
            <v>Não</v>
          </cell>
        </row>
        <row r="134">
          <cell r="C134" t="str">
            <v>Não</v>
          </cell>
          <cell r="L134" t="str">
            <v>Não</v>
          </cell>
        </row>
        <row r="153">
          <cell r="C153" t="str">
            <v>Sugerido</v>
          </cell>
          <cell r="L153" t="str">
            <v>Sugerido</v>
          </cell>
        </row>
      </sheetData>
      <sheetData sheetId="3"/>
      <sheetData sheetId="4" refreshError="1"/>
      <sheetData sheetId="5" refreshError="1"/>
      <sheetData sheetId="6">
        <row r="1">
          <cell r="C1" t="str">
            <v>ICAO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Z5" t="str">
            <v>IFR Precisão</v>
          </cell>
          <cell r="AA5" t="str">
            <v>ü</v>
          </cell>
          <cell r="AB5" t="str">
            <v>ü</v>
          </cell>
          <cell r="AC5" t="str">
            <v>ü</v>
          </cell>
          <cell r="AD5" t="str">
            <v>ü</v>
          </cell>
          <cell r="AE5" t="str">
            <v>ü</v>
          </cell>
          <cell r="AF5" t="str">
            <v>û</v>
          </cell>
          <cell r="AG5" t="str">
            <v>û</v>
          </cell>
          <cell r="AH5" t="str">
            <v>ü</v>
          </cell>
        </row>
        <row r="6">
          <cell r="Q6" t="str">
            <v>Cenário 1</v>
          </cell>
          <cell r="R6" t="str">
            <v>IFR Precisão</v>
          </cell>
          <cell r="S6" t="str">
            <v>EMS-1</v>
          </cell>
          <cell r="T6" t="str">
            <v>û</v>
          </cell>
          <cell r="U6" t="str">
            <v>ü</v>
          </cell>
          <cell r="V6" t="str">
            <v>ü</v>
          </cell>
          <cell r="W6" t="str">
            <v>ü</v>
          </cell>
          <cell r="X6" t="str">
            <v>ü</v>
          </cell>
          <cell r="Z6" t="str">
            <v>IFR Não-Precisão</v>
          </cell>
          <cell r="AA6" t="str">
            <v>ü</v>
          </cell>
          <cell r="AB6" t="str">
            <v>ü</v>
          </cell>
          <cell r="AC6" t="str">
            <v>ü</v>
          </cell>
          <cell r="AD6" t="str">
            <v>ü</v>
          </cell>
          <cell r="AE6" t="str">
            <v>ü</v>
          </cell>
          <cell r="AF6" t="e">
            <v>#N/A</v>
          </cell>
          <cell r="AG6" t="str">
            <v>û</v>
          </cell>
          <cell r="AH6" t="str">
            <v>û</v>
          </cell>
        </row>
        <row r="7">
          <cell r="Q7" t="str">
            <v>Cenário 2</v>
          </cell>
          <cell r="R7" t="str">
            <v>IFR Não-Precisão</v>
          </cell>
          <cell r="S7" t="str">
            <v>EMS-2</v>
          </cell>
          <cell r="T7" t="str">
            <v>û</v>
          </cell>
          <cell r="U7" t="str">
            <v>ü</v>
          </cell>
          <cell r="V7" t="str">
            <v>ü</v>
          </cell>
          <cell r="W7" t="str">
            <v>û</v>
          </cell>
          <cell r="X7" t="str">
            <v>ü</v>
          </cell>
          <cell r="Z7" t="str">
            <v>VFR</v>
          </cell>
          <cell r="AA7" t="str">
            <v>ü</v>
          </cell>
          <cell r="AB7" t="str">
            <v>ü</v>
          </cell>
          <cell r="AC7" t="str">
            <v>ü</v>
          </cell>
          <cell r="AD7" t="str">
            <v>ü</v>
          </cell>
          <cell r="AE7" t="str">
            <v>ü</v>
          </cell>
          <cell r="AF7" t="e">
            <v>#N/A</v>
          </cell>
          <cell r="AG7" t="str">
            <v>û</v>
          </cell>
          <cell r="AH7" t="str">
            <v>û</v>
          </cell>
        </row>
        <row r="8">
          <cell r="Q8" t="str">
            <v>Cenário 3</v>
          </cell>
          <cell r="R8" t="str">
            <v>IFR Não-Precisão</v>
          </cell>
          <cell r="S8" t="str">
            <v>EMS-3</v>
          </cell>
          <cell r="T8" t="str">
            <v>ü</v>
          </cell>
          <cell r="U8" t="str">
            <v>û</v>
          </cell>
          <cell r="V8" t="str">
            <v>ü</v>
          </cell>
          <cell r="W8" t="str">
            <v>û</v>
          </cell>
          <cell r="X8" t="str">
            <v>ü</v>
          </cell>
        </row>
        <row r="9">
          <cell r="Q9" t="str">
            <v>Cenário 4</v>
          </cell>
          <cell r="R9" t="str">
            <v>IFR Não-Precisão</v>
          </cell>
          <cell r="S9" t="str">
            <v>EMS-3</v>
          </cell>
          <cell r="T9" t="str">
            <v>ü</v>
          </cell>
          <cell r="U9" t="str">
            <v>û</v>
          </cell>
          <cell r="V9" t="str">
            <v>û</v>
          </cell>
          <cell r="W9" t="str">
            <v>û</v>
          </cell>
          <cell r="X9" t="str">
            <v>û</v>
          </cell>
        </row>
        <row r="10">
          <cell r="Q10" t="str">
            <v>Cenário 5</v>
          </cell>
          <cell r="R10" t="str">
            <v>IFR Não-Precisão</v>
          </cell>
          <cell r="S10" t="str">
            <v>ERAA</v>
          </cell>
          <cell r="T10" t="str">
            <v>û</v>
          </cell>
          <cell r="U10" t="str">
            <v>û</v>
          </cell>
          <cell r="V10" t="str">
            <v>û</v>
          </cell>
          <cell r="W10" t="str">
            <v>û</v>
          </cell>
          <cell r="X10" t="str">
            <v>û</v>
          </cell>
        </row>
        <row r="11">
          <cell r="Q11" t="str">
            <v>Cenário 6</v>
          </cell>
          <cell r="R11" t="str">
            <v>VFR</v>
          </cell>
          <cell r="S11" t="str">
            <v>Não possui</v>
          </cell>
          <cell r="T11" t="str">
            <v>û</v>
          </cell>
          <cell r="U11" t="str">
            <v>û</v>
          </cell>
          <cell r="V11" t="str">
            <v>û</v>
          </cell>
          <cell r="W11" t="str">
            <v>û</v>
          </cell>
          <cell r="X11" t="str">
            <v>û</v>
          </cell>
        </row>
      </sheetData>
      <sheetData sheetId="14">
        <row r="5">
          <cell r="AD5" t="str">
            <v>A319</v>
          </cell>
          <cell r="AE5" t="str">
            <v>3C</v>
          </cell>
          <cell r="AF5">
            <v>1799</v>
          </cell>
          <cell r="AG5">
            <v>45</v>
          </cell>
          <cell r="AH5">
            <v>158</v>
          </cell>
          <cell r="AI5">
            <v>25</v>
          </cell>
          <cell r="AJ5">
            <v>26</v>
          </cell>
          <cell r="AK5">
            <v>38.5</v>
          </cell>
          <cell r="AS5">
            <v>6</v>
          </cell>
          <cell r="AT5">
            <v>300</v>
          </cell>
          <cell r="CA5">
            <v>5</v>
          </cell>
          <cell r="CB5">
            <v>0</v>
          </cell>
          <cell r="CC5">
            <v>20</v>
          </cell>
          <cell r="DF5">
            <v>2500</v>
          </cell>
          <cell r="IP5" t="str">
            <v>Média 2</v>
          </cell>
        </row>
        <row r="6">
          <cell r="M6" t="str">
            <v>A319</v>
          </cell>
          <cell r="P6">
            <v>1370</v>
          </cell>
          <cell r="Q6">
            <v>1799</v>
          </cell>
          <cell r="R6">
            <v>45</v>
          </cell>
          <cell r="S6">
            <v>45</v>
          </cell>
          <cell r="AD6" t="str">
            <v>A320</v>
          </cell>
          <cell r="AE6" t="str">
            <v>4C</v>
          </cell>
          <cell r="AF6">
            <v>2025</v>
          </cell>
          <cell r="AG6">
            <v>45</v>
          </cell>
          <cell r="AH6">
            <v>158</v>
          </cell>
          <cell r="AI6">
            <v>25</v>
          </cell>
          <cell r="AJ6">
            <v>26</v>
          </cell>
          <cell r="AK6">
            <v>40.5</v>
          </cell>
          <cell r="AS6">
            <v>6</v>
          </cell>
          <cell r="AT6">
            <v>300</v>
          </cell>
          <cell r="IP6" t="str">
            <v>Média 2</v>
          </cell>
        </row>
        <row r="7">
          <cell r="M7" t="str">
            <v>A320</v>
          </cell>
          <cell r="P7">
            <v>1525</v>
          </cell>
          <cell r="Q7">
            <v>2025</v>
          </cell>
          <cell r="R7">
            <v>45</v>
          </cell>
          <cell r="S7">
            <v>45</v>
          </cell>
          <cell r="AD7" t="str">
            <v>A320 NEO</v>
          </cell>
          <cell r="AE7" t="str">
            <v>3C</v>
          </cell>
          <cell r="AF7">
            <v>1775</v>
          </cell>
          <cell r="AG7">
            <v>45</v>
          </cell>
          <cell r="AH7">
            <v>158</v>
          </cell>
          <cell r="AI7">
            <v>25</v>
          </cell>
          <cell r="AJ7">
            <v>26</v>
          </cell>
          <cell r="AK7">
            <v>40.5</v>
          </cell>
          <cell r="AS7">
            <v>6</v>
          </cell>
          <cell r="AT7">
            <v>300</v>
          </cell>
          <cell r="IP7" t="str">
            <v>Média 2</v>
          </cell>
        </row>
        <row r="8">
          <cell r="M8" t="str">
            <v>A320 NEO</v>
          </cell>
          <cell r="P8">
            <v>1440</v>
          </cell>
          <cell r="Q8">
            <v>1775</v>
          </cell>
          <cell r="R8">
            <v>45</v>
          </cell>
          <cell r="S8">
            <v>45</v>
          </cell>
          <cell r="AD8" t="str">
            <v>A321 NEO</v>
          </cell>
          <cell r="AE8" t="str">
            <v>4C</v>
          </cell>
          <cell r="AF8">
            <v>2180</v>
          </cell>
          <cell r="AG8">
            <v>45</v>
          </cell>
          <cell r="AH8">
            <v>158</v>
          </cell>
          <cell r="AI8">
            <v>25</v>
          </cell>
          <cell r="AJ8">
            <v>26</v>
          </cell>
          <cell r="AK8">
            <v>40.5</v>
          </cell>
          <cell r="AS8">
            <v>7</v>
          </cell>
          <cell r="AT8">
            <v>500</v>
          </cell>
          <cell r="IP8" t="str">
            <v>Média 2</v>
          </cell>
        </row>
        <row r="9">
          <cell r="M9" t="str">
            <v>A321 NEO</v>
          </cell>
          <cell r="N9">
            <v>1200</v>
          </cell>
          <cell r="O9">
            <v>1385</v>
          </cell>
          <cell r="P9">
            <v>1720</v>
          </cell>
          <cell r="Q9">
            <v>2180</v>
          </cell>
          <cell r="R9">
            <v>45</v>
          </cell>
          <cell r="S9">
            <v>45</v>
          </cell>
          <cell r="AD9" t="str">
            <v>A330-200</v>
          </cell>
          <cell r="AE9" t="str">
            <v>4E</v>
          </cell>
          <cell r="AF9">
            <v>2520</v>
          </cell>
          <cell r="AG9">
            <v>60</v>
          </cell>
          <cell r="AH9">
            <v>172.5</v>
          </cell>
          <cell r="AI9">
            <v>38</v>
          </cell>
          <cell r="AJ9">
            <v>43.5</v>
          </cell>
          <cell r="AK9">
            <v>67.5</v>
          </cell>
          <cell r="AS9">
            <v>8</v>
          </cell>
          <cell r="AT9">
            <v>500</v>
          </cell>
          <cell r="IP9" t="str">
            <v>Pesada</v>
          </cell>
        </row>
        <row r="10">
          <cell r="M10" t="str">
            <v>A330-200</v>
          </cell>
          <cell r="O10">
            <v>1590</v>
          </cell>
          <cell r="P10">
            <v>1930</v>
          </cell>
          <cell r="Q10">
            <v>2520</v>
          </cell>
          <cell r="R10">
            <v>60</v>
          </cell>
          <cell r="S10">
            <v>45</v>
          </cell>
          <cell r="AD10" t="str">
            <v>A330-900</v>
          </cell>
          <cell r="AE10" t="str">
            <v>4E</v>
          </cell>
          <cell r="AF10">
            <v>2790</v>
          </cell>
          <cell r="AG10">
            <v>60</v>
          </cell>
          <cell r="AH10">
            <v>172.5</v>
          </cell>
          <cell r="AI10">
            <v>38</v>
          </cell>
          <cell r="AJ10">
            <v>43.5</v>
          </cell>
          <cell r="AK10">
            <v>71.5</v>
          </cell>
          <cell r="AS10">
            <v>9</v>
          </cell>
          <cell r="AT10">
            <v>800</v>
          </cell>
          <cell r="IP10" t="str">
            <v>Pesada</v>
          </cell>
        </row>
        <row r="11">
          <cell r="M11" t="str">
            <v>A330-900</v>
          </cell>
          <cell r="O11">
            <v>1840</v>
          </cell>
          <cell r="P11">
            <v>2040</v>
          </cell>
          <cell r="Q11">
            <v>2790</v>
          </cell>
          <cell r="R11">
            <v>60</v>
          </cell>
          <cell r="S11">
            <v>45</v>
          </cell>
          <cell r="AD11" t="str">
            <v>A350-900</v>
          </cell>
          <cell r="AE11" t="str">
            <v>4E</v>
          </cell>
          <cell r="AF11">
            <v>2840</v>
          </cell>
          <cell r="AG11">
            <v>60</v>
          </cell>
          <cell r="AH11">
            <v>172.5</v>
          </cell>
          <cell r="AI11">
            <v>38</v>
          </cell>
          <cell r="AJ11">
            <v>43.5</v>
          </cell>
          <cell r="AK11">
            <v>72.5</v>
          </cell>
          <cell r="AS11">
            <v>9</v>
          </cell>
          <cell r="AT11">
            <v>800</v>
          </cell>
          <cell r="IP11" t="str">
            <v>Pesada</v>
          </cell>
        </row>
        <row r="12">
          <cell r="M12" t="str">
            <v>A350-900</v>
          </cell>
          <cell r="O12">
            <v>1850</v>
          </cell>
          <cell r="P12">
            <v>2200</v>
          </cell>
          <cell r="Q12">
            <v>2840</v>
          </cell>
          <cell r="R12">
            <v>60</v>
          </cell>
          <cell r="S12">
            <v>45</v>
          </cell>
          <cell r="AD12" t="str">
            <v>B737-700</v>
          </cell>
          <cell r="AE12" t="str">
            <v>3C</v>
          </cell>
          <cell r="AF12">
            <v>1610</v>
          </cell>
          <cell r="AG12">
            <v>30</v>
          </cell>
          <cell r="AH12">
            <v>158</v>
          </cell>
          <cell r="AI12">
            <v>25</v>
          </cell>
          <cell r="AJ12">
            <v>26</v>
          </cell>
          <cell r="AK12">
            <v>40.5</v>
          </cell>
          <cell r="AS12">
            <v>6</v>
          </cell>
          <cell r="AT12">
            <v>300</v>
          </cell>
          <cell r="IP12" t="str">
            <v>Média 1</v>
          </cell>
        </row>
        <row r="13">
          <cell r="M13" t="str">
            <v>B737-700</v>
          </cell>
          <cell r="P13">
            <v>1365</v>
          </cell>
          <cell r="Q13">
            <v>1610</v>
          </cell>
          <cell r="R13">
            <v>30</v>
          </cell>
          <cell r="S13">
            <v>30</v>
          </cell>
          <cell r="AD13" t="str">
            <v>B737-800W</v>
          </cell>
          <cell r="AE13" t="str">
            <v>4C</v>
          </cell>
          <cell r="AF13">
            <v>2375</v>
          </cell>
          <cell r="AG13">
            <v>45</v>
          </cell>
          <cell r="AH13">
            <v>158</v>
          </cell>
          <cell r="AI13">
            <v>25</v>
          </cell>
          <cell r="AJ13">
            <v>26</v>
          </cell>
          <cell r="AK13">
            <v>40.5</v>
          </cell>
          <cell r="AS13">
            <v>7</v>
          </cell>
          <cell r="AT13">
            <v>500</v>
          </cell>
          <cell r="IP13" t="str">
            <v>Média 1</v>
          </cell>
        </row>
        <row r="14">
          <cell r="M14" t="str">
            <v>B737-800W</v>
          </cell>
          <cell r="N14">
            <v>1050</v>
          </cell>
          <cell r="O14">
            <v>1350</v>
          </cell>
          <cell r="P14">
            <v>1600</v>
          </cell>
          <cell r="Q14">
            <v>2010</v>
          </cell>
          <cell r="R14">
            <v>45</v>
          </cell>
          <cell r="S14">
            <v>45</v>
          </cell>
          <cell r="AD14" t="str">
            <v>B737-8 MAX</v>
          </cell>
          <cell r="AE14" t="str">
            <v>4C</v>
          </cell>
          <cell r="AF14">
            <v>2040</v>
          </cell>
          <cell r="AG14">
            <v>45</v>
          </cell>
          <cell r="AH14">
            <v>158</v>
          </cell>
          <cell r="AI14">
            <v>25</v>
          </cell>
          <cell r="AJ14">
            <v>26</v>
          </cell>
          <cell r="AK14">
            <v>40.5</v>
          </cell>
          <cell r="AS14">
            <v>7</v>
          </cell>
          <cell r="AT14">
            <v>500</v>
          </cell>
          <cell r="IP14" t="str">
            <v>Média 2</v>
          </cell>
        </row>
        <row r="15">
          <cell r="M15" t="str">
            <v>B737-8 MAX</v>
          </cell>
          <cell r="O15">
            <v>1350</v>
          </cell>
          <cell r="P15">
            <v>1665</v>
          </cell>
          <cell r="Q15">
            <v>2040</v>
          </cell>
          <cell r="R15">
            <v>45</v>
          </cell>
          <cell r="S15">
            <v>45</v>
          </cell>
          <cell r="AD15" t="str">
            <v>B767-300ER</v>
          </cell>
          <cell r="AE15" t="str">
            <v>4D</v>
          </cell>
          <cell r="AF15">
            <v>2600</v>
          </cell>
          <cell r="AG15">
            <v>60</v>
          </cell>
          <cell r="AH15">
            <v>166</v>
          </cell>
          <cell r="AI15">
            <v>34</v>
          </cell>
          <cell r="AJ15">
            <v>37</v>
          </cell>
          <cell r="AK15">
            <v>55.5</v>
          </cell>
          <cell r="AS15">
            <v>8</v>
          </cell>
          <cell r="AT15">
            <v>500</v>
          </cell>
          <cell r="IP15" t="str">
            <v>Média 2</v>
          </cell>
        </row>
        <row r="16">
          <cell r="M16" t="str">
            <v>B767-300ER</v>
          </cell>
          <cell r="N16">
            <v>1350</v>
          </cell>
          <cell r="O16">
            <v>1630</v>
          </cell>
          <cell r="P16">
            <v>2075</v>
          </cell>
          <cell r="Q16">
            <v>2715</v>
          </cell>
          <cell r="R16">
            <v>60</v>
          </cell>
          <cell r="S16">
            <v>45</v>
          </cell>
          <cell r="AD16" t="str">
            <v>B777-300ER</v>
          </cell>
          <cell r="AE16" t="str">
            <v>4E</v>
          </cell>
          <cell r="AF16">
            <v>3060</v>
          </cell>
          <cell r="AG16">
            <v>60</v>
          </cell>
          <cell r="AH16">
            <v>172.5</v>
          </cell>
          <cell r="AI16">
            <v>38</v>
          </cell>
          <cell r="AJ16">
            <v>43.5</v>
          </cell>
          <cell r="AK16">
            <v>72.5</v>
          </cell>
          <cell r="AS16">
            <v>9</v>
          </cell>
          <cell r="AT16">
            <v>800</v>
          </cell>
          <cell r="IP16" t="str">
            <v>Média 2</v>
          </cell>
        </row>
        <row r="17">
          <cell r="M17" t="str">
            <v>B777-300ER</v>
          </cell>
          <cell r="O17">
            <v>1930</v>
          </cell>
          <cell r="P17">
            <v>2450</v>
          </cell>
          <cell r="Q17">
            <v>3060</v>
          </cell>
          <cell r="R17">
            <v>60</v>
          </cell>
          <cell r="S17">
            <v>45</v>
          </cell>
          <cell r="AD17" t="str">
            <v>B787-8 Dreamliner</v>
          </cell>
          <cell r="AE17" t="str">
            <v>4E</v>
          </cell>
          <cell r="AF17">
            <v>3100</v>
          </cell>
          <cell r="AG17">
            <v>60</v>
          </cell>
          <cell r="AH17">
            <v>172.5</v>
          </cell>
          <cell r="AI17">
            <v>38</v>
          </cell>
          <cell r="AJ17">
            <v>43.5</v>
          </cell>
          <cell r="AK17">
            <v>63.5</v>
          </cell>
          <cell r="AS17">
            <v>8</v>
          </cell>
          <cell r="AT17">
            <v>500</v>
          </cell>
          <cell r="IP17" t="str">
            <v>Média 2</v>
          </cell>
        </row>
        <row r="18">
          <cell r="M18" t="str">
            <v>B787-8 Dreamliner</v>
          </cell>
          <cell r="O18">
            <v>1815</v>
          </cell>
          <cell r="P18">
            <v>2300</v>
          </cell>
          <cell r="Q18">
            <v>3100</v>
          </cell>
          <cell r="R18">
            <v>60</v>
          </cell>
          <cell r="S18">
            <v>45</v>
          </cell>
          <cell r="AD18" t="str">
            <v>CRJ200</v>
          </cell>
          <cell r="AE18" t="str">
            <v>4B</v>
          </cell>
          <cell r="AF18">
            <v>1910</v>
          </cell>
          <cell r="AG18">
            <v>45</v>
          </cell>
          <cell r="AH18">
            <v>152</v>
          </cell>
          <cell r="AI18">
            <v>25</v>
          </cell>
          <cell r="AJ18">
            <v>20</v>
          </cell>
          <cell r="AK18">
            <v>24</v>
          </cell>
          <cell r="AS18">
            <v>6</v>
          </cell>
          <cell r="AT18">
            <v>300</v>
          </cell>
          <cell r="IP18" t="str">
            <v>Média 2</v>
          </cell>
        </row>
        <row r="19">
          <cell r="M19" t="str">
            <v>CRJ200</v>
          </cell>
          <cell r="N19">
            <v>950</v>
          </cell>
          <cell r="O19">
            <v>1220</v>
          </cell>
          <cell r="P19">
            <v>1540</v>
          </cell>
          <cell r="Q19">
            <v>1910</v>
          </cell>
          <cell r="R19">
            <v>45</v>
          </cell>
          <cell r="S19">
            <v>45</v>
          </cell>
          <cell r="AD19" t="str">
            <v>C208 Grand Caravan</v>
          </cell>
          <cell r="AE19" t="str">
            <v>1B</v>
          </cell>
          <cell r="AF19">
            <v>658</v>
          </cell>
          <cell r="AG19">
            <v>30</v>
          </cell>
          <cell r="AH19">
            <v>82</v>
          </cell>
          <cell r="AI19">
            <v>8</v>
          </cell>
          <cell r="AJ19">
            <v>20</v>
          </cell>
          <cell r="AK19">
            <v>19</v>
          </cell>
          <cell r="AS19">
            <v>3</v>
          </cell>
          <cell r="AT19">
            <v>100</v>
          </cell>
          <cell r="IP19" t="str">
            <v>Pesada</v>
          </cell>
        </row>
        <row r="20">
          <cell r="M20" t="str">
            <v>C208 Grand Caravan</v>
          </cell>
          <cell r="Q20">
            <v>658</v>
          </cell>
          <cell r="R20">
            <v>30</v>
          </cell>
          <cell r="S20">
            <v>30</v>
          </cell>
          <cell r="AD20" t="str">
            <v>EMB-195</v>
          </cell>
          <cell r="AE20" t="str">
            <v>4C</v>
          </cell>
          <cell r="AF20">
            <v>2092</v>
          </cell>
          <cell r="AG20">
            <v>45</v>
          </cell>
          <cell r="AH20">
            <v>158</v>
          </cell>
          <cell r="AI20">
            <v>25</v>
          </cell>
          <cell r="AJ20">
            <v>26</v>
          </cell>
          <cell r="AK20">
            <v>33.5</v>
          </cell>
          <cell r="AS20">
            <v>6</v>
          </cell>
          <cell r="AT20">
            <v>250</v>
          </cell>
          <cell r="IP20" t="str">
            <v>Pesada</v>
          </cell>
        </row>
        <row r="21">
          <cell r="M21" t="str">
            <v>EMB-195</v>
          </cell>
          <cell r="N21">
            <v>975</v>
          </cell>
          <cell r="O21">
            <v>1235</v>
          </cell>
          <cell r="P21">
            <v>1590</v>
          </cell>
          <cell r="Q21">
            <v>2092</v>
          </cell>
          <cell r="R21">
            <v>45</v>
          </cell>
          <cell r="S21">
            <v>45</v>
          </cell>
          <cell r="AD21" t="str">
            <v>EMB-195 E2</v>
          </cell>
          <cell r="AE21" t="str">
            <v>4C</v>
          </cell>
          <cell r="AF21">
            <v>1740</v>
          </cell>
          <cell r="AG21">
            <v>45</v>
          </cell>
          <cell r="AH21">
            <v>158</v>
          </cell>
          <cell r="AI21">
            <v>25</v>
          </cell>
          <cell r="AJ21">
            <v>26</v>
          </cell>
          <cell r="AK21">
            <v>33.5</v>
          </cell>
          <cell r="AS21">
            <v>6</v>
          </cell>
          <cell r="AT21">
            <v>300</v>
          </cell>
          <cell r="IP21" t="str">
            <v>Média 3</v>
          </cell>
        </row>
        <row r="22">
          <cell r="M22" t="str">
            <v>EMB-195 E2</v>
          </cell>
          <cell r="O22">
            <v>1130</v>
          </cell>
          <cell r="P22">
            <v>1405</v>
          </cell>
          <cell r="Q22">
            <v>1740</v>
          </cell>
          <cell r="R22">
            <v>45</v>
          </cell>
          <cell r="S22">
            <v>45</v>
          </cell>
          <cell r="AD22" t="str">
            <v>SkyCourier</v>
          </cell>
          <cell r="AE22" t="str">
            <v>2B</v>
          </cell>
          <cell r="AF22">
            <v>1006</v>
          </cell>
          <cell r="AG22">
            <v>30</v>
          </cell>
          <cell r="AH22">
            <v>82</v>
          </cell>
          <cell r="AI22">
            <v>8</v>
          </cell>
          <cell r="AJ22">
            <v>20</v>
          </cell>
          <cell r="AK22">
            <v>25</v>
          </cell>
          <cell r="AS22">
            <v>3</v>
          </cell>
          <cell r="AT22">
            <v>150</v>
          </cell>
          <cell r="IP22" t="str">
            <v>Pesada</v>
          </cell>
        </row>
        <row r="23">
          <cell r="M23" t="str">
            <v>SkyCourier</v>
          </cell>
          <cell r="Q23">
            <v>1006</v>
          </cell>
          <cell r="R23">
            <v>30</v>
          </cell>
          <cell r="S23">
            <v>30</v>
          </cell>
          <cell r="AD23" t="str">
            <v>ATR 42</v>
          </cell>
          <cell r="AE23" t="str">
            <v>2C</v>
          </cell>
          <cell r="AF23">
            <v>1165</v>
          </cell>
          <cell r="AG23">
            <v>30</v>
          </cell>
          <cell r="AH23">
            <v>88</v>
          </cell>
          <cell r="AI23">
            <v>25</v>
          </cell>
          <cell r="AJ23">
            <v>26</v>
          </cell>
          <cell r="AK23">
            <v>29.5</v>
          </cell>
          <cell r="AS23">
            <v>5</v>
          </cell>
          <cell r="AT23">
            <v>200</v>
          </cell>
          <cell r="IP23" t="str">
            <v>Pesada</v>
          </cell>
        </row>
        <row r="24">
          <cell r="M24" t="str">
            <v>ATR 42</v>
          </cell>
          <cell r="Q24">
            <v>1165</v>
          </cell>
          <cell r="R24">
            <v>30</v>
          </cell>
          <cell r="S24">
            <v>30</v>
          </cell>
          <cell r="AD24" t="str">
            <v>ATR 72</v>
          </cell>
          <cell r="AE24" t="str">
            <v>3C</v>
          </cell>
          <cell r="AF24">
            <v>1280</v>
          </cell>
          <cell r="AG24">
            <v>30</v>
          </cell>
          <cell r="AH24">
            <v>158</v>
          </cell>
          <cell r="AI24">
            <v>25</v>
          </cell>
          <cell r="AJ24">
            <v>26</v>
          </cell>
          <cell r="AK24">
            <v>31.5</v>
          </cell>
          <cell r="AS24">
            <v>5</v>
          </cell>
          <cell r="AT24">
            <v>250</v>
          </cell>
          <cell r="IP24" t="str">
            <v>Pesada</v>
          </cell>
        </row>
        <row r="25">
          <cell r="M25" t="str">
            <v>ATR 72</v>
          </cell>
          <cell r="N25">
            <v>900</v>
          </cell>
          <cell r="O25">
            <v>930</v>
          </cell>
          <cell r="P25">
            <v>1070</v>
          </cell>
          <cell r="Q25">
            <v>1280</v>
          </cell>
          <cell r="R25">
            <v>30</v>
          </cell>
          <cell r="S25">
            <v>30</v>
          </cell>
          <cell r="AD25" t="str">
            <v>A330-200F</v>
          </cell>
          <cell r="AE25" t="str">
            <v>4E</v>
          </cell>
          <cell r="AF25">
            <v>2520</v>
          </cell>
          <cell r="AG25">
            <v>45</v>
          </cell>
          <cell r="AH25">
            <v>172.5</v>
          </cell>
          <cell r="AI25">
            <v>38</v>
          </cell>
          <cell r="AJ25">
            <v>43.5</v>
          </cell>
          <cell r="AK25">
            <v>67.5</v>
          </cell>
          <cell r="AS25">
            <v>6</v>
          </cell>
          <cell r="AT25">
            <v>800</v>
          </cell>
          <cell r="IP25" t="str">
            <v>Pesada</v>
          </cell>
        </row>
        <row r="26">
          <cell r="M26" t="str">
            <v>A330-200F</v>
          </cell>
          <cell r="O26">
            <v>1540</v>
          </cell>
          <cell r="P26">
            <v>1930</v>
          </cell>
          <cell r="Q26">
            <v>2520</v>
          </cell>
          <cell r="R26">
            <v>45</v>
          </cell>
          <cell r="S26">
            <v>45</v>
          </cell>
          <cell r="AD26" t="str">
            <v>B737-300F</v>
          </cell>
          <cell r="AE26" t="str">
            <v>4C</v>
          </cell>
          <cell r="AF26">
            <v>2210</v>
          </cell>
          <cell r="AG26">
            <v>45</v>
          </cell>
          <cell r="AH26">
            <v>158</v>
          </cell>
          <cell r="AI26">
            <v>25</v>
          </cell>
          <cell r="AJ26">
            <v>26</v>
          </cell>
          <cell r="AK26">
            <v>33.5</v>
          </cell>
          <cell r="AS26">
            <v>5</v>
          </cell>
          <cell r="AT26">
            <v>300</v>
          </cell>
          <cell r="IP26" t="str">
            <v>Média 1</v>
          </cell>
        </row>
        <row r="27">
          <cell r="M27" t="str">
            <v>B737-300F</v>
          </cell>
          <cell r="O27">
            <v>1295</v>
          </cell>
          <cell r="P27">
            <v>1630</v>
          </cell>
          <cell r="Q27">
            <v>2210</v>
          </cell>
          <cell r="R27">
            <v>45</v>
          </cell>
          <cell r="S27">
            <v>45</v>
          </cell>
          <cell r="AD27" t="str">
            <v>B737-400F</v>
          </cell>
          <cell r="AE27" t="str">
            <v>4C</v>
          </cell>
          <cell r="AF27">
            <v>2200</v>
          </cell>
          <cell r="AG27">
            <v>45</v>
          </cell>
          <cell r="AH27">
            <v>158</v>
          </cell>
          <cell r="AI27">
            <v>25</v>
          </cell>
          <cell r="AJ27">
            <v>26</v>
          </cell>
          <cell r="AK27">
            <v>33.5</v>
          </cell>
          <cell r="AS27">
            <v>5</v>
          </cell>
          <cell r="AT27">
            <v>300</v>
          </cell>
          <cell r="IP27" t="str">
            <v>Leve 2</v>
          </cell>
        </row>
        <row r="28">
          <cell r="M28" t="str">
            <v>B737-400F</v>
          </cell>
          <cell r="O28">
            <v>1285</v>
          </cell>
          <cell r="P28">
            <v>1660</v>
          </cell>
          <cell r="Q28">
            <v>2200</v>
          </cell>
          <cell r="R28">
            <v>45</v>
          </cell>
          <cell r="S28">
            <v>45</v>
          </cell>
          <cell r="AD28" t="str">
            <v>B747-400F</v>
          </cell>
          <cell r="AE28" t="str">
            <v>4E</v>
          </cell>
          <cell r="AF28">
            <v>3180</v>
          </cell>
          <cell r="AG28">
            <v>60</v>
          </cell>
          <cell r="AH28">
            <v>172.5</v>
          </cell>
          <cell r="AI28">
            <v>38</v>
          </cell>
          <cell r="AJ28">
            <v>43.5</v>
          </cell>
          <cell r="AK28">
            <v>72.5</v>
          </cell>
          <cell r="AS28">
            <v>7</v>
          </cell>
          <cell r="AT28">
            <v>800</v>
          </cell>
          <cell r="IP28" t="str">
            <v>Leve 2</v>
          </cell>
        </row>
        <row r="29">
          <cell r="M29" t="str">
            <v>B747-400F</v>
          </cell>
          <cell r="O29">
            <v>1975</v>
          </cell>
          <cell r="P29">
            <v>2500</v>
          </cell>
          <cell r="Q29">
            <v>3180</v>
          </cell>
          <cell r="R29">
            <v>60</v>
          </cell>
          <cell r="S29">
            <v>45</v>
          </cell>
          <cell r="AD29" t="str">
            <v>B747-800F</v>
          </cell>
          <cell r="AE29" t="str">
            <v>4F</v>
          </cell>
          <cell r="AF29">
            <v>3100</v>
          </cell>
          <cell r="AG29">
            <v>75</v>
          </cell>
          <cell r="AH29">
            <v>180</v>
          </cell>
          <cell r="AI29">
            <v>44</v>
          </cell>
          <cell r="AJ29">
            <v>51</v>
          </cell>
          <cell r="AK29">
            <v>75.5</v>
          </cell>
          <cell r="AS29">
            <v>9</v>
          </cell>
          <cell r="AT29">
            <v>1200</v>
          </cell>
          <cell r="IP29" t="str">
            <v>Média 2</v>
          </cell>
        </row>
        <row r="30">
          <cell r="M30" t="str">
            <v>B747-800F</v>
          </cell>
          <cell r="O30">
            <v>1950</v>
          </cell>
          <cell r="P30">
            <v>2400</v>
          </cell>
          <cell r="Q30">
            <v>3100</v>
          </cell>
          <cell r="R30">
            <v>45</v>
          </cell>
          <cell r="S30">
            <v>45</v>
          </cell>
          <cell r="AD30" t="str">
            <v>B767-300F</v>
          </cell>
          <cell r="AE30" t="str">
            <v>4D</v>
          </cell>
          <cell r="AF30">
            <v>2715</v>
          </cell>
          <cell r="AG30">
            <v>60</v>
          </cell>
          <cell r="AH30">
            <v>166</v>
          </cell>
          <cell r="AI30">
            <v>34</v>
          </cell>
          <cell r="AJ30">
            <v>37</v>
          </cell>
          <cell r="AK30">
            <v>55.5</v>
          </cell>
          <cell r="AS30">
            <v>6</v>
          </cell>
          <cell r="AT30">
            <v>500</v>
          </cell>
          <cell r="IP30" t="str">
            <v>Média 2</v>
          </cell>
        </row>
        <row r="31">
          <cell r="M31" t="str">
            <v>B767-300F</v>
          </cell>
          <cell r="N31">
            <v>1350</v>
          </cell>
          <cell r="O31">
            <v>1630</v>
          </cell>
          <cell r="P31">
            <v>2075</v>
          </cell>
          <cell r="Q31">
            <v>2715</v>
          </cell>
          <cell r="R31">
            <v>60</v>
          </cell>
          <cell r="S31">
            <v>45</v>
          </cell>
          <cell r="AD31" t="str">
            <v>C208F Grand Caravan</v>
          </cell>
          <cell r="AE31" t="str">
            <v>1B</v>
          </cell>
          <cell r="AF31">
            <v>658</v>
          </cell>
          <cell r="AG31">
            <v>18</v>
          </cell>
          <cell r="AH31">
            <v>152</v>
          </cell>
          <cell r="AI31">
            <v>8</v>
          </cell>
          <cell r="AJ31">
            <v>20</v>
          </cell>
          <cell r="AK31">
            <v>19</v>
          </cell>
          <cell r="AS31">
            <v>3</v>
          </cell>
          <cell r="AT31">
            <v>100</v>
          </cell>
          <cell r="IP31" t="str">
            <v>Média 2</v>
          </cell>
        </row>
        <row r="32">
          <cell r="M32" t="str">
            <v>C208F Grand Caravan</v>
          </cell>
          <cell r="Q32">
            <v>658</v>
          </cell>
          <cell r="R32">
            <v>18</v>
          </cell>
          <cell r="S32">
            <v>18</v>
          </cell>
          <cell r="AD32" t="str">
            <v>A330-300</v>
          </cell>
          <cell r="AE32" t="str">
            <v>4E</v>
          </cell>
          <cell r="AF32">
            <v>2776</v>
          </cell>
          <cell r="AG32">
            <v>60</v>
          </cell>
          <cell r="AH32">
            <v>172.5</v>
          </cell>
          <cell r="AI32">
            <v>38</v>
          </cell>
          <cell r="AJ32">
            <v>43.5</v>
          </cell>
          <cell r="AK32">
            <v>67.5</v>
          </cell>
          <cell r="AS32">
            <v>9</v>
          </cell>
          <cell r="AT32">
            <v>800</v>
          </cell>
          <cell r="IP32" t="str">
            <v>Média 2</v>
          </cell>
        </row>
        <row r="33">
          <cell r="M33" t="str">
            <v>A330-300</v>
          </cell>
          <cell r="O33">
            <v>1650</v>
          </cell>
          <cell r="P33">
            <v>2020</v>
          </cell>
          <cell r="Q33">
            <v>2776</v>
          </cell>
          <cell r="R33">
            <v>60</v>
          </cell>
          <cell r="S33">
            <v>45</v>
          </cell>
          <cell r="IP33" t="str">
            <v>Média 2</v>
          </cell>
        </row>
        <row r="34">
          <cell r="IP34" t="str">
            <v>Pesada</v>
          </cell>
        </row>
        <row r="35">
          <cell r="IP35" t="str">
            <v>Pesada</v>
          </cell>
        </row>
        <row r="36">
          <cell r="IP36" t="str">
            <v>Pesada</v>
          </cell>
        </row>
        <row r="37">
          <cell r="IP37" t="str">
            <v>Leve 1</v>
          </cell>
        </row>
        <row r="38">
          <cell r="IP38" t="str">
            <v>Leve 1</v>
          </cell>
        </row>
        <row r="39">
          <cell r="IP39" t="str">
            <v>Leve 1</v>
          </cell>
        </row>
        <row r="40">
          <cell r="IP40" t="str">
            <v>Leve 1</v>
          </cell>
        </row>
        <row r="41">
          <cell r="IP41" t="str">
            <v>Leve 1</v>
          </cell>
        </row>
        <row r="42">
          <cell r="IP42" t="str">
            <v>Leve 1</v>
          </cell>
        </row>
        <row r="43">
          <cell r="IP43" t="str">
            <v>Leve 1</v>
          </cell>
        </row>
        <row r="44">
          <cell r="IP44" t="str">
            <v>Leve 2</v>
          </cell>
        </row>
        <row r="45">
          <cell r="IP45" t="str">
            <v>Média 1</v>
          </cell>
        </row>
        <row r="46">
          <cell r="IP46" t="str">
            <v>Leve 1</v>
          </cell>
        </row>
        <row r="47">
          <cell r="IP47" t="str">
            <v>Leve 1</v>
          </cell>
        </row>
        <row r="48">
          <cell r="IP48" t="str">
            <v>Leve 2</v>
          </cell>
        </row>
        <row r="49">
          <cell r="IP49" t="str">
            <v>Média 1</v>
          </cell>
        </row>
        <row r="90">
          <cell r="AH90">
            <v>2.4</v>
          </cell>
        </row>
        <row r="91">
          <cell r="AM91" t="str">
            <v>AC</v>
          </cell>
          <cell r="AN91" t="str">
            <v>Acre</v>
          </cell>
          <cell r="AO91" t="str">
            <v>Norte</v>
          </cell>
        </row>
        <row r="92">
          <cell r="AM92" t="str">
            <v>AL</v>
          </cell>
          <cell r="AN92" t="str">
            <v>Alagoas</v>
          </cell>
          <cell r="AO92" t="str">
            <v>Nordeste</v>
          </cell>
        </row>
        <row r="93">
          <cell r="AM93" t="str">
            <v>AM</v>
          </cell>
          <cell r="AN93" t="str">
            <v>Amazonas</v>
          </cell>
          <cell r="AO93" t="str">
            <v>Norte</v>
          </cell>
        </row>
        <row r="94">
          <cell r="AM94" t="str">
            <v>AP</v>
          </cell>
          <cell r="AN94" t="str">
            <v>Amapá</v>
          </cell>
          <cell r="AO94" t="str">
            <v>Norte</v>
          </cell>
        </row>
        <row r="95">
          <cell r="AB95">
            <v>1.25</v>
          </cell>
          <cell r="AM95" t="str">
            <v>BA</v>
          </cell>
          <cell r="AN95" t="str">
            <v>Bahia</v>
          </cell>
          <cell r="AO95" t="str">
            <v>Nordeste</v>
          </cell>
        </row>
        <row r="96">
          <cell r="AM96" t="str">
            <v>CE</v>
          </cell>
          <cell r="AN96" t="str">
            <v>Ceará</v>
          </cell>
          <cell r="AO96" t="str">
            <v>Nordeste</v>
          </cell>
        </row>
        <row r="97">
          <cell r="U97">
            <v>0.2097</v>
          </cell>
          <cell r="AM97" t="str">
            <v>DF</v>
          </cell>
          <cell r="AN97" t="str">
            <v>Distrito Federal</v>
          </cell>
          <cell r="AO97" t="str">
            <v>Centro-Oeste</v>
          </cell>
        </row>
        <row r="98">
          <cell r="U98">
            <v>0.21240000000000001</v>
          </cell>
          <cell r="AM98" t="str">
            <v>ES</v>
          </cell>
          <cell r="AN98" t="str">
            <v>Espírito Santo</v>
          </cell>
          <cell r="AO98" t="str">
            <v>Sudeste</v>
          </cell>
        </row>
        <row r="99">
          <cell r="AM99" t="str">
            <v>GO</v>
          </cell>
          <cell r="AN99" t="str">
            <v>Goiás</v>
          </cell>
          <cell r="AO99" t="str">
            <v>Centro-Oeste</v>
          </cell>
        </row>
        <row r="100">
          <cell r="AM100" t="str">
            <v>MA</v>
          </cell>
          <cell r="AN100" t="str">
            <v>Maranhão</v>
          </cell>
          <cell r="AO100" t="str">
            <v>Nordeste</v>
          </cell>
        </row>
        <row r="101">
          <cell r="AM101" t="str">
            <v>MT</v>
          </cell>
          <cell r="AN101" t="str">
            <v>Mato Grosso</v>
          </cell>
          <cell r="AO101" t="str">
            <v>Centro-Oeste</v>
          </cell>
        </row>
        <row r="102">
          <cell r="U102">
            <v>7.4999999999999997E-2</v>
          </cell>
          <cell r="AM102" t="str">
            <v>MS</v>
          </cell>
          <cell r="AN102" t="str">
            <v>Mato Grosso do Sul</v>
          </cell>
          <cell r="AO102" t="str">
            <v>Centro-Oeste</v>
          </cell>
        </row>
        <row r="103">
          <cell r="AM103" t="str">
            <v>MG</v>
          </cell>
          <cell r="AN103" t="str">
            <v>Minas Gerais</v>
          </cell>
          <cell r="AO103" t="str">
            <v>Sudeste</v>
          </cell>
        </row>
        <row r="104">
          <cell r="AM104" t="str">
            <v>PA</v>
          </cell>
          <cell r="AN104" t="str">
            <v>Pará</v>
          </cell>
          <cell r="AO104" t="str">
            <v>Norte</v>
          </cell>
        </row>
        <row r="105">
          <cell r="AM105" t="str">
            <v>PB</v>
          </cell>
          <cell r="AN105" t="str">
            <v>Paraíba</v>
          </cell>
          <cell r="AO105" t="str">
            <v>Nordeste</v>
          </cell>
        </row>
        <row r="106">
          <cell r="AM106" t="str">
            <v>PR</v>
          </cell>
          <cell r="AN106" t="str">
            <v>Paraná</v>
          </cell>
          <cell r="AO106" t="str">
            <v>Sul</v>
          </cell>
        </row>
        <row r="107">
          <cell r="AM107" t="str">
            <v>PE</v>
          </cell>
          <cell r="AN107" t="str">
            <v>Pernambuco</v>
          </cell>
          <cell r="AO107" t="str">
            <v>Nordeste</v>
          </cell>
        </row>
        <row r="108">
          <cell r="M108" t="str">
            <v>Centro-Oeste</v>
          </cell>
          <cell r="N108">
            <v>5909.7964030058483</v>
          </cell>
          <cell r="Q108" t="str">
            <v>Centro-Oeste</v>
          </cell>
          <cell r="R108">
            <v>2701.7126489641778</v>
          </cell>
          <cell r="AM108" t="str">
            <v>PI</v>
          </cell>
          <cell r="AN108" t="str">
            <v>Piauí</v>
          </cell>
          <cell r="AO108" t="str">
            <v>Nordeste</v>
          </cell>
        </row>
        <row r="109">
          <cell r="M109" t="str">
            <v>Nordeste</v>
          </cell>
          <cell r="N109">
            <v>5668.3085090397053</v>
          </cell>
          <cell r="Q109" t="str">
            <v>Nordeste</v>
          </cell>
          <cell r="R109">
            <v>2482.3857590386724</v>
          </cell>
          <cell r="AM109" t="str">
            <v>RJ</v>
          </cell>
          <cell r="AN109" t="str">
            <v>Rio de Janeiro</v>
          </cell>
          <cell r="AO109" t="str">
            <v>Sudeste</v>
          </cell>
        </row>
        <row r="110">
          <cell r="M110" t="str">
            <v>Norte</v>
          </cell>
          <cell r="N110">
            <v>6191.1196110344981</v>
          </cell>
          <cell r="Q110" t="str">
            <v>Norte</v>
          </cell>
          <cell r="R110">
            <v>3074.6420698452307</v>
          </cell>
          <cell r="AM110" t="str">
            <v>RN</v>
          </cell>
          <cell r="AN110" t="str">
            <v>Rio Grande do Norte</v>
          </cell>
          <cell r="AO110" t="str">
            <v>Nordeste</v>
          </cell>
        </row>
        <row r="111">
          <cell r="M111" t="str">
            <v>Sudeste</v>
          </cell>
          <cell r="N111">
            <v>5712.5896245639506</v>
          </cell>
          <cell r="Q111" t="str">
            <v>Sudeste</v>
          </cell>
          <cell r="R111">
            <v>3026.5795830424859</v>
          </cell>
          <cell r="AM111" t="str">
            <v>RS</v>
          </cell>
          <cell r="AN111" t="str">
            <v>Rio Grande do Sul</v>
          </cell>
          <cell r="AO111" t="str">
            <v>Sul</v>
          </cell>
        </row>
        <row r="112">
          <cell r="M112" t="str">
            <v>Sul</v>
          </cell>
          <cell r="N112">
            <v>5976.2653240786412</v>
          </cell>
          <cell r="Q112" t="str">
            <v>Sul</v>
          </cell>
          <cell r="R112">
            <v>2803.5833234440838</v>
          </cell>
          <cell r="AM112" t="str">
            <v>RO</v>
          </cell>
          <cell r="AN112" t="str">
            <v>Rondônia</v>
          </cell>
          <cell r="AO112" t="str">
            <v>Norte</v>
          </cell>
        </row>
        <row r="113">
          <cell r="AM113" t="str">
            <v>RR</v>
          </cell>
          <cell r="AN113" t="str">
            <v>Roraima</v>
          </cell>
          <cell r="AO113" t="str">
            <v>Norte</v>
          </cell>
        </row>
        <row r="114">
          <cell r="AM114" t="str">
            <v>SC</v>
          </cell>
          <cell r="AN114" t="str">
            <v>Santa Catarina</v>
          </cell>
          <cell r="AO114" t="str">
            <v>Sul</v>
          </cell>
        </row>
        <row r="115">
          <cell r="AM115" t="str">
            <v>SP</v>
          </cell>
          <cell r="AN115" t="str">
            <v>São Paulo</v>
          </cell>
          <cell r="AO115" t="str">
            <v>Sudeste</v>
          </cell>
        </row>
        <row r="116">
          <cell r="AM116" t="str">
            <v>SE</v>
          </cell>
          <cell r="AN116" t="str">
            <v>Sergipe</v>
          </cell>
          <cell r="AO116" t="str">
            <v>Nordeste</v>
          </cell>
        </row>
        <row r="117">
          <cell r="AM117" t="str">
            <v>TO</v>
          </cell>
          <cell r="AN117" t="str">
            <v>Tocantins</v>
          </cell>
          <cell r="AO117" t="str">
            <v>Norte</v>
          </cell>
        </row>
        <row r="148">
          <cell r="M148">
            <v>0</v>
          </cell>
          <cell r="N148">
            <v>9</v>
          </cell>
          <cell r="O148" t="str">
            <v>Ruptura</v>
          </cell>
          <cell r="P148" t="str">
            <v>Cinza Escuro</v>
          </cell>
          <cell r="R148" t="str">
            <v>Manutenção flexível 3</v>
          </cell>
          <cell r="S148" t="str">
            <v>Manutenção rígido 2</v>
          </cell>
        </row>
        <row r="149">
          <cell r="M149">
            <v>10</v>
          </cell>
          <cell r="N149">
            <v>24</v>
          </cell>
          <cell r="O149" t="str">
            <v>Péssimo</v>
          </cell>
          <cell r="P149" t="str">
            <v>Vermelho Escuro</v>
          </cell>
          <cell r="R149" t="str">
            <v>Manutenção flexível 3</v>
          </cell>
          <cell r="S149" t="str">
            <v>Manutenção rígido 2</v>
          </cell>
        </row>
        <row r="150">
          <cell r="M150">
            <v>25</v>
          </cell>
          <cell r="N150">
            <v>39</v>
          </cell>
          <cell r="O150" t="str">
            <v>Muito Ruim</v>
          </cell>
          <cell r="P150" t="str">
            <v>Vermelho</v>
          </cell>
          <cell r="Q150" t="str">
            <v>PCI Crítico de Serviço</v>
          </cell>
          <cell r="R150" t="str">
            <v>Manutenção flexível 3</v>
          </cell>
          <cell r="S150" t="str">
            <v>Manutenção rígido 2</v>
          </cell>
        </row>
        <row r="151">
          <cell r="M151">
            <v>40</v>
          </cell>
          <cell r="N151">
            <v>54</v>
          </cell>
          <cell r="O151" t="str">
            <v>Ruim</v>
          </cell>
          <cell r="P151" t="str">
            <v>Laranja</v>
          </cell>
          <cell r="R151" t="str">
            <v>Manutenção flexível 2</v>
          </cell>
          <cell r="S151" t="str">
            <v>Manutenção rígido 1</v>
          </cell>
        </row>
        <row r="152">
          <cell r="M152">
            <v>55</v>
          </cell>
          <cell r="N152">
            <v>69</v>
          </cell>
          <cell r="O152" t="str">
            <v>Regular</v>
          </cell>
          <cell r="P152" t="str">
            <v>Amarelo</v>
          </cell>
          <cell r="Q152" t="str">
            <v>PCI Crítico de Manutenção</v>
          </cell>
          <cell r="R152" t="str">
            <v>Manutenção flexível 2</v>
          </cell>
          <cell r="S152" t="str">
            <v>Manutenção rígido 1</v>
          </cell>
        </row>
        <row r="153">
          <cell r="M153">
            <v>70</v>
          </cell>
          <cell r="N153">
            <v>84</v>
          </cell>
          <cell r="O153" t="str">
            <v>Bom</v>
          </cell>
          <cell r="P153" t="str">
            <v>Verde Claro</v>
          </cell>
          <cell r="R153" t="str">
            <v>Manutenção flexível 1</v>
          </cell>
          <cell r="S153" t="str">
            <v>Manutenção rígido 1</v>
          </cell>
        </row>
        <row r="154">
          <cell r="M154">
            <v>85</v>
          </cell>
          <cell r="N154">
            <v>100</v>
          </cell>
          <cell r="O154" t="str">
            <v>Excelente</v>
          </cell>
          <cell r="P154" t="str">
            <v>Verde Escuro</v>
          </cell>
          <cell r="R154" t="str">
            <v>Manutenção flexível 1</v>
          </cell>
          <cell r="S154" t="str">
            <v>Manutenção rígido 1</v>
          </cell>
        </row>
      </sheetData>
      <sheetData sheetId="15" refreshError="1"/>
      <sheetData sheetId="16" refreshError="1"/>
      <sheetData sheetId="17" refreshError="1"/>
      <sheetData sheetId="18">
        <row r="6">
          <cell r="GW6">
            <v>0</v>
          </cell>
          <cell r="GX6">
            <v>0</v>
          </cell>
          <cell r="GY6" t="str">
            <v/>
          </cell>
          <cell r="GZ6" t="str">
            <v/>
          </cell>
        </row>
        <row r="10">
          <cell r="AS10">
            <v>0</v>
          </cell>
          <cell r="AT10">
            <v>0</v>
          </cell>
          <cell r="AW10" t="e">
            <v>#VALUE!</v>
          </cell>
          <cell r="AX10" t="e">
            <v>#VALUE!</v>
          </cell>
          <cell r="GT10" t="str">
            <v>û</v>
          </cell>
          <cell r="GZ10" t="str">
            <v>û</v>
          </cell>
          <cell r="HA10" t="str">
            <v>û</v>
          </cell>
          <cell r="HB10" t="str">
            <v>û</v>
          </cell>
          <cell r="HC10" t="str">
            <v>û</v>
          </cell>
          <cell r="HD10" t="str">
            <v>û</v>
          </cell>
          <cell r="HE10" t="str">
            <v>û</v>
          </cell>
          <cell r="HF10" t="str">
            <v>û</v>
          </cell>
          <cell r="HG10" t="str">
            <v>û</v>
          </cell>
          <cell r="HH10" t="str">
            <v>û</v>
          </cell>
          <cell r="HI10" t="str">
            <v>û</v>
          </cell>
          <cell r="HJ10" t="str">
            <v>û</v>
          </cell>
          <cell r="HK10" t="str">
            <v>û</v>
          </cell>
          <cell r="HL10" t="str">
            <v>û</v>
          </cell>
          <cell r="HM10" t="str">
            <v>û</v>
          </cell>
          <cell r="HN10" t="str">
            <v>û</v>
          </cell>
          <cell r="HO10" t="str">
            <v>û</v>
          </cell>
          <cell r="HP10" t="str">
            <v>û</v>
          </cell>
          <cell r="HQ10" t="str">
            <v>û</v>
          </cell>
          <cell r="HR10" t="str">
            <v>û</v>
          </cell>
        </row>
        <row r="12">
          <cell r="BL12" t="e">
            <v>#N/A</v>
          </cell>
        </row>
        <row r="13">
          <cell r="BE13" t="e">
            <v>#N/A</v>
          </cell>
          <cell r="BJ13" t="e">
            <v>#N/A</v>
          </cell>
          <cell r="CH13">
            <v>0</v>
          </cell>
          <cell r="EF13" t="e">
            <v>#N/A</v>
          </cell>
          <cell r="EG13" t="e">
            <v>#N/A</v>
          </cell>
          <cell r="EY13">
            <v>0</v>
          </cell>
          <cell r="EZ13">
            <v>0</v>
          </cell>
          <cell r="FF13">
            <v>0</v>
          </cell>
          <cell r="FG13">
            <v>0</v>
          </cell>
          <cell r="FM13">
            <v>0</v>
          </cell>
          <cell r="FN13" t="e">
            <v>#N/A</v>
          </cell>
          <cell r="FT13">
            <v>0</v>
          </cell>
          <cell r="FU13" t="e">
            <v>#N/A</v>
          </cell>
          <cell r="GA13">
            <v>0</v>
          </cell>
          <cell r="GB13">
            <v>0</v>
          </cell>
          <cell r="GH13">
            <v>0</v>
          </cell>
        </row>
        <row r="15">
          <cell r="AB15">
            <v>0</v>
          </cell>
          <cell r="AC15">
            <v>0</v>
          </cell>
        </row>
        <row r="16">
          <cell r="G16">
            <v>0</v>
          </cell>
          <cell r="H16">
            <v>0</v>
          </cell>
          <cell r="Q16">
            <v>0</v>
          </cell>
          <cell r="R16">
            <v>0</v>
          </cell>
          <cell r="CC16" t="e">
            <v>#N/A</v>
          </cell>
          <cell r="CF16" t="e">
            <v>#N/A</v>
          </cell>
          <cell r="CH16">
            <v>0</v>
          </cell>
          <cell r="CI16" t="e">
            <v>#N/A</v>
          </cell>
        </row>
        <row r="18">
          <cell r="AS18">
            <v>0</v>
          </cell>
          <cell r="AT18" t="e">
            <v>#VALUE!</v>
          </cell>
          <cell r="GH18">
            <v>0</v>
          </cell>
          <cell r="GI18">
            <v>0</v>
          </cell>
        </row>
        <row r="19">
          <cell r="CC19" t="e">
            <v>#N/A</v>
          </cell>
          <cell r="CD19" t="e">
            <v>#N/A</v>
          </cell>
          <cell r="EE19" t="e">
            <v>#N/A</v>
          </cell>
          <cell r="EF19" t="e">
            <v>#N/A</v>
          </cell>
          <cell r="EG19" t="e">
            <v>#N/A</v>
          </cell>
          <cell r="EH19" t="e">
            <v>#N/A</v>
          </cell>
          <cell r="EJ19" t="e">
            <v>#N/A</v>
          </cell>
          <cell r="EY19">
            <v>0</v>
          </cell>
          <cell r="EZ19">
            <v>0</v>
          </cell>
          <cell r="FA19">
            <v>0</v>
          </cell>
          <cell r="FF19">
            <v>0</v>
          </cell>
          <cell r="FG19">
            <v>0</v>
          </cell>
          <cell r="FH19">
            <v>0</v>
          </cell>
          <cell r="FM19">
            <v>0</v>
          </cell>
          <cell r="FN19">
            <v>0</v>
          </cell>
          <cell r="FO19">
            <v>0</v>
          </cell>
          <cell r="FT19">
            <v>0</v>
          </cell>
          <cell r="FU19">
            <v>0</v>
          </cell>
          <cell r="FV19">
            <v>0</v>
          </cell>
          <cell r="GB19">
            <v>0</v>
          </cell>
          <cell r="GC19">
            <v>0</v>
          </cell>
        </row>
        <row r="20">
          <cell r="AD20" t="e">
            <v>#N/A</v>
          </cell>
        </row>
        <row r="22">
          <cell r="EY22">
            <v>0</v>
          </cell>
          <cell r="FF22">
            <v>0</v>
          </cell>
          <cell r="FM22">
            <v>0</v>
          </cell>
          <cell r="FT22">
            <v>0</v>
          </cell>
          <cell r="GA22">
            <v>0</v>
          </cell>
          <cell r="GP22" t="str">
            <v>û</v>
          </cell>
          <cell r="GQ22" t="str">
            <v>û</v>
          </cell>
          <cell r="GS22" t="str">
            <v>Não possui</v>
          </cell>
          <cell r="GT22" t="str">
            <v>û</v>
          </cell>
          <cell r="GU22" t="str">
            <v>û</v>
          </cell>
          <cell r="GV22" t="str">
            <v>û</v>
          </cell>
          <cell r="GW22" t="str">
            <v>û</v>
          </cell>
          <cell r="GX22" t="str">
            <v>û</v>
          </cell>
          <cell r="GY22" t="str">
            <v>û</v>
          </cell>
          <cell r="GZ22" t="str">
            <v>û</v>
          </cell>
          <cell r="HA22" t="str">
            <v>û</v>
          </cell>
          <cell r="HB22" t="str">
            <v>û</v>
          </cell>
          <cell r="HC22" t="str">
            <v>û</v>
          </cell>
          <cell r="HD22" t="str">
            <v>û</v>
          </cell>
          <cell r="HE22" t="str">
            <v>û</v>
          </cell>
          <cell r="HF22" t="str">
            <v>û</v>
          </cell>
          <cell r="HG22" t="str">
            <v>û</v>
          </cell>
          <cell r="HH22" t="str">
            <v>û</v>
          </cell>
          <cell r="HI22" t="str">
            <v>û</v>
          </cell>
          <cell r="HJ22" t="str">
            <v>û</v>
          </cell>
          <cell r="HK22" t="str">
            <v>û</v>
          </cell>
          <cell r="HL22" t="str">
            <v>û</v>
          </cell>
          <cell r="HM22" t="str">
            <v>û</v>
          </cell>
          <cell r="HN22" t="str">
            <v>û</v>
          </cell>
          <cell r="HO22" t="str">
            <v>û</v>
          </cell>
          <cell r="HP22" t="str">
            <v>û</v>
          </cell>
          <cell r="HQ22" t="str">
            <v>û</v>
          </cell>
          <cell r="HR22" t="str">
            <v>û</v>
          </cell>
        </row>
        <row r="24">
          <cell r="G24">
            <v>32.289245974397637</v>
          </cell>
          <cell r="H24">
            <v>0</v>
          </cell>
          <cell r="BE24" t="e">
            <v>#N/A</v>
          </cell>
          <cell r="BF24" t="e">
            <v>#N/A</v>
          </cell>
          <cell r="BP24" t="e">
            <v>#N/A</v>
          </cell>
          <cell r="BQ24" t="e">
            <v>#N/A</v>
          </cell>
          <cell r="BW24">
            <v>0</v>
          </cell>
          <cell r="BX24">
            <v>0</v>
          </cell>
        </row>
        <row r="29">
          <cell r="AB29">
            <v>0</v>
          </cell>
          <cell r="AC29">
            <v>0</v>
          </cell>
          <cell r="AI29">
            <v>0</v>
          </cell>
          <cell r="AJ29">
            <v>0</v>
          </cell>
          <cell r="BP29" t="e">
            <v>#VALUE!</v>
          </cell>
          <cell r="BQ29" t="e">
            <v>#N/A</v>
          </cell>
          <cell r="BS29">
            <v>0</v>
          </cell>
          <cell r="BT29">
            <v>0</v>
          </cell>
        </row>
        <row r="30">
          <cell r="I30">
            <v>1</v>
          </cell>
          <cell r="AS30">
            <v>0</v>
          </cell>
          <cell r="AT30">
            <v>0</v>
          </cell>
          <cell r="AW30">
            <v>0</v>
          </cell>
          <cell r="AX30">
            <v>0</v>
          </cell>
        </row>
        <row r="31">
          <cell r="FT31">
            <v>0.1</v>
          </cell>
          <cell r="FU31">
            <v>0</v>
          </cell>
          <cell r="FV31">
            <v>0.2</v>
          </cell>
        </row>
        <row r="35">
          <cell r="G35">
            <v>0</v>
          </cell>
          <cell r="H35">
            <v>0</v>
          </cell>
        </row>
        <row r="37">
          <cell r="AB37" t="e">
            <v>#VALUE!</v>
          </cell>
          <cell r="AC37">
            <v>0</v>
          </cell>
        </row>
        <row r="38">
          <cell r="AS38">
            <v>0</v>
          </cell>
          <cell r="AT38">
            <v>0</v>
          </cell>
        </row>
        <row r="44">
          <cell r="AI44">
            <v>15</v>
          </cell>
          <cell r="AJ44">
            <v>25</v>
          </cell>
        </row>
        <row r="50">
          <cell r="G50">
            <v>30</v>
          </cell>
          <cell r="L50">
            <v>0</v>
          </cell>
        </row>
        <row r="53">
          <cell r="AH53">
            <v>405</v>
          </cell>
          <cell r="AI53">
            <v>675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</row>
        <row r="59">
          <cell r="H59">
            <v>172.5</v>
          </cell>
          <cell r="I59">
            <v>172.5</v>
          </cell>
        </row>
        <row r="68">
          <cell r="AP68">
            <v>0</v>
          </cell>
        </row>
        <row r="76">
          <cell r="AP76">
            <v>0</v>
          </cell>
        </row>
        <row r="84">
          <cell r="AP84" t="str">
            <v/>
          </cell>
        </row>
        <row r="119">
          <cell r="K119" t="e">
            <v>#VALUE!</v>
          </cell>
          <cell r="T119">
            <v>1377.02</v>
          </cell>
          <cell r="AE119" t="e">
            <v>#VALUE!</v>
          </cell>
          <cell r="AF119" t="e">
            <v>#VALUE!</v>
          </cell>
        </row>
        <row r="120">
          <cell r="K120" t="e">
            <v>#VALUE!</v>
          </cell>
          <cell r="AE120" t="e">
            <v>#VALUE!</v>
          </cell>
          <cell r="AF120" t="e">
            <v>#VALUE!</v>
          </cell>
        </row>
        <row r="121">
          <cell r="K121" t="e">
            <v>#VALUE!</v>
          </cell>
        </row>
        <row r="122">
          <cell r="K122" t="e">
            <v>#VALUE!</v>
          </cell>
        </row>
        <row r="123">
          <cell r="K123" t="e">
            <v>#VALUE!</v>
          </cell>
          <cell r="AE123" t="e">
            <v>#N/A</v>
          </cell>
          <cell r="AF123" t="e">
            <v>#N/A</v>
          </cell>
        </row>
        <row r="124">
          <cell r="K124" t="e">
            <v>#VALUE!</v>
          </cell>
          <cell r="N124" t="e">
            <v>#N/A</v>
          </cell>
          <cell r="O124" t="e">
            <v>#N/A</v>
          </cell>
          <cell r="T124">
            <v>5608825.8799999999</v>
          </cell>
          <cell r="AE124" t="e">
            <v>#VALUE!</v>
          </cell>
          <cell r="AF124" t="e">
            <v>#VALUE!</v>
          </cell>
        </row>
        <row r="125">
          <cell r="T125">
            <v>3717000</v>
          </cell>
          <cell r="AE125" t="e">
            <v>#VALUE!</v>
          </cell>
          <cell r="AF125" t="e">
            <v>#VALUE!</v>
          </cell>
        </row>
        <row r="126">
          <cell r="T126">
            <v>619500</v>
          </cell>
        </row>
        <row r="127">
          <cell r="T127">
            <v>2981394.12</v>
          </cell>
          <cell r="AE127" t="e">
            <v>#VALUE!</v>
          </cell>
          <cell r="AF127" t="e">
            <v>#VALUE!</v>
          </cell>
        </row>
        <row r="128">
          <cell r="AE128" t="e">
            <v>#N/A</v>
          </cell>
        </row>
        <row r="129">
          <cell r="AE129" t="e">
            <v>#N/A</v>
          </cell>
          <cell r="AF129" t="e">
            <v>#N/A</v>
          </cell>
        </row>
        <row r="130">
          <cell r="AE130" t="e">
            <v>#VALUE!</v>
          </cell>
          <cell r="AF130" t="e">
            <v>#VALUE!</v>
          </cell>
        </row>
        <row r="131">
          <cell r="AE131" t="e">
            <v>#VALUE!</v>
          </cell>
          <cell r="AF131" t="e">
            <v>#VALUE!</v>
          </cell>
        </row>
        <row r="132">
          <cell r="K132" t="e">
            <v>#N/A</v>
          </cell>
        </row>
        <row r="133">
          <cell r="K133" t="e">
            <v>#N/A</v>
          </cell>
        </row>
        <row r="134">
          <cell r="K134" t="e">
            <v>#N/A</v>
          </cell>
        </row>
        <row r="135">
          <cell r="K135" t="e">
            <v>#N/A</v>
          </cell>
        </row>
        <row r="136">
          <cell r="K136" t="e">
            <v>#N/A</v>
          </cell>
        </row>
        <row r="137">
          <cell r="K137" t="e">
            <v>#N/A</v>
          </cell>
        </row>
        <row r="156">
          <cell r="H156">
            <v>0</v>
          </cell>
          <cell r="I156">
            <v>0</v>
          </cell>
          <cell r="O156">
            <v>0</v>
          </cell>
          <cell r="P156">
            <v>0</v>
          </cell>
          <cell r="U15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 22"/>
      <sheetName val="FLUXO DE CAIXA DESC.-BLOCOS PAN"/>
      <sheetName val="FLUXO DE CAIXA - BLOCOS PAN"/>
      <sheetName val="CAPEX - BLOCOS PAN"/>
      <sheetName val="CAPEX - BLOCOS PAN (ANO A ANO)"/>
      <sheetName val="OPEX - BLOCOS PAN"/>
      <sheetName val="RECEITAS - BLOCOS PAN"/>
      <sheetName val="BASE PAN - CAPEX"/>
      <sheetName val="BASE PAN - OPEX"/>
      <sheetName val="BASE PAN - RECEITAS"/>
      <sheetName val="BASE PAN - CAPEX - 1º ANO"/>
      <sheetName val="CAPEX Manut. Estr_PPD e Taxiway"/>
      <sheetName val="CAPEX Manut. Estratégicos_Pátio"/>
      <sheetName val="CAPEX Manut. Estr_Naveg. Aérea"/>
      <sheetName val="CAPEX Manut. Estr_Cerca Operac."/>
      <sheetName val="Receitas - Aerop. Estratégicos"/>
      <sheetName val="Projeção - Demanda PAX"/>
      <sheetName val="CAPEX - BLOCOS PAN S_MULTIP."/>
      <sheetName val="CAPEX - BLOCOS PAN P_ANO S_MULT"/>
    </sheetNames>
    <sheetDataSet>
      <sheetData sheetId="0"/>
      <sheetData sheetId="1">
        <row r="3">
          <cell r="A3" t="str">
            <v>SNCP</v>
          </cell>
          <cell r="B3" t="str">
            <v>REGIONAL DO PLANALTO SERRANO</v>
          </cell>
          <cell r="C3">
            <v>420455</v>
          </cell>
          <cell r="D3" t="str">
            <v>N603420455</v>
          </cell>
        </row>
        <row r="4">
          <cell r="A4" t="str">
            <v>N518</v>
          </cell>
          <cell r="B4" t="str">
            <v>AEROPORTO PRÉ-PLANEJADO EM SEDE DE UTP</v>
          </cell>
          <cell r="C4">
            <v>130030</v>
          </cell>
          <cell r="D4" t="str">
            <v>N518130030</v>
          </cell>
        </row>
        <row r="5">
          <cell r="A5" t="str">
            <v>N861</v>
          </cell>
          <cell r="B5" t="str">
            <v>AEROPORTO PRÉ-PLANEJADO EM SEDE DE UTP</v>
          </cell>
          <cell r="C5">
            <v>160070</v>
          </cell>
          <cell r="D5" t="str">
            <v>N861160070</v>
          </cell>
        </row>
        <row r="6">
          <cell r="A6" t="str">
            <v>SBAE</v>
          </cell>
          <cell r="B6" t="str">
            <v>AEROPORTO BAURU/AREALVA</v>
          </cell>
          <cell r="C6">
            <v>350340</v>
          </cell>
          <cell r="D6" t="str">
            <v>SBAE350340</v>
          </cell>
        </row>
        <row r="7">
          <cell r="A7" t="str">
            <v>N218</v>
          </cell>
          <cell r="B7" t="str">
            <v>AEROPORTO PRÉ-PLANEJADO EM SEDE DE UTP</v>
          </cell>
          <cell r="C7">
            <v>352230</v>
          </cell>
          <cell r="D7" t="str">
            <v>N218352230</v>
          </cell>
        </row>
        <row r="8">
          <cell r="A8" t="str">
            <v>N774</v>
          </cell>
          <cell r="B8" t="str">
            <v>AEROPORTO PRÉ-PLANEJADO EM SEDE DE UTP</v>
          </cell>
          <cell r="C8">
            <v>150580</v>
          </cell>
          <cell r="D8" t="str">
            <v>N774150580</v>
          </cell>
        </row>
        <row r="9">
          <cell r="A9" t="str">
            <v>N798</v>
          </cell>
          <cell r="B9" t="str">
            <v>AEROPORTO PRÉ-PLANEJADO EM SEDE DE UTP</v>
          </cell>
          <cell r="C9">
            <v>140047</v>
          </cell>
          <cell r="D9" t="str">
            <v>N798140047</v>
          </cell>
        </row>
        <row r="10">
          <cell r="A10" t="str">
            <v>SBAR</v>
          </cell>
          <cell r="B10" t="str">
            <v>SANTA MARIA</v>
          </cell>
          <cell r="C10">
            <v>280030</v>
          </cell>
          <cell r="D10" t="str">
            <v>SBAR280030</v>
          </cell>
        </row>
        <row r="11">
          <cell r="A11" t="str">
            <v>SBCA</v>
          </cell>
          <cell r="B11" t="str">
            <v>AEROPORTO CORONEL ADALBERTO MENDES DA SILVA</v>
          </cell>
          <cell r="C11">
            <v>410480</v>
          </cell>
          <cell r="D11" t="str">
            <v>SBCA410480</v>
          </cell>
        </row>
        <row r="12">
          <cell r="A12" t="str">
            <v>SBCN</v>
          </cell>
          <cell r="B12" t="str">
            <v>NELSON RODRIGUES GUIMARÃES</v>
          </cell>
          <cell r="C12">
            <v>520450</v>
          </cell>
          <cell r="D12" t="str">
            <v>SBCN520450</v>
          </cell>
        </row>
        <row r="13">
          <cell r="A13" t="str">
            <v>SBFL</v>
          </cell>
          <cell r="B13" t="str">
            <v>HERCÍLIO LUZ</v>
          </cell>
          <cell r="C13">
            <v>420540</v>
          </cell>
          <cell r="D13" t="str">
            <v>SBFL420540</v>
          </cell>
        </row>
        <row r="14">
          <cell r="A14" t="str">
            <v>SBGR</v>
          </cell>
          <cell r="B14" t="str">
            <v>GUARULHOS - GOVERNADOR ANDRÉ FRANCO MONTORO</v>
          </cell>
          <cell r="C14">
            <v>351880</v>
          </cell>
          <cell r="D14" t="str">
            <v>SBGR351880</v>
          </cell>
        </row>
        <row r="15">
          <cell r="A15" t="str">
            <v>SBGV</v>
          </cell>
          <cell r="B15" t="str">
            <v>CORONEL ALTINO MACHADO</v>
          </cell>
          <cell r="C15">
            <v>312770</v>
          </cell>
          <cell r="D15" t="str">
            <v>SBGV312770</v>
          </cell>
        </row>
        <row r="16">
          <cell r="A16" t="str">
            <v>SBIH</v>
          </cell>
          <cell r="B16" t="str">
            <v>ITAITUBA</v>
          </cell>
          <cell r="C16">
            <v>150360</v>
          </cell>
          <cell r="D16" t="str">
            <v>SBIH150360</v>
          </cell>
        </row>
        <row r="17">
          <cell r="A17" t="str">
            <v>SBIZ</v>
          </cell>
          <cell r="B17" t="str">
            <v>PREFEITO RENATO MOREIRA</v>
          </cell>
          <cell r="C17">
            <v>210530</v>
          </cell>
          <cell r="D17" t="str">
            <v>SBIZ210530</v>
          </cell>
        </row>
        <row r="18">
          <cell r="A18" t="str">
            <v>SBJA</v>
          </cell>
          <cell r="B18" t="str">
            <v>AEROPORTO REGIONAL SUL</v>
          </cell>
          <cell r="C18">
            <v>420880</v>
          </cell>
          <cell r="D18" t="str">
            <v>SBJA420880</v>
          </cell>
        </row>
        <row r="19">
          <cell r="A19" t="str">
            <v>SBJU</v>
          </cell>
          <cell r="B19" t="str">
            <v>ORLANDO BEZERRA DE MENEZES</v>
          </cell>
          <cell r="C19">
            <v>230730</v>
          </cell>
          <cell r="D19" t="str">
            <v>SBJU230730</v>
          </cell>
        </row>
        <row r="20">
          <cell r="A20" t="str">
            <v>SBLE</v>
          </cell>
          <cell r="B20" t="str">
            <v>HORÁCIO DE MATTOS</v>
          </cell>
          <cell r="C20">
            <v>291930</v>
          </cell>
          <cell r="D20" t="str">
            <v>SBLE291930</v>
          </cell>
        </row>
        <row r="21">
          <cell r="A21" t="str">
            <v>SBMO</v>
          </cell>
          <cell r="B21" t="str">
            <v>ZUMBI DOS PALMARES</v>
          </cell>
          <cell r="C21">
            <v>270770</v>
          </cell>
          <cell r="D21" t="str">
            <v>SBMO270770</v>
          </cell>
        </row>
        <row r="22">
          <cell r="A22" t="str">
            <v>SBMQ</v>
          </cell>
          <cell r="B22" t="str">
            <v>ALBERTO ALCOLUMBRE</v>
          </cell>
          <cell r="C22">
            <v>160030</v>
          </cell>
          <cell r="D22" t="str">
            <v>SBMQ160030</v>
          </cell>
        </row>
        <row r="23">
          <cell r="A23" t="str">
            <v>SBSM</v>
          </cell>
          <cell r="B23" t="str">
            <v>AEROPORTO DE SANTA MARIA</v>
          </cell>
          <cell r="C23">
            <v>431690</v>
          </cell>
          <cell r="D23" t="str">
            <v>SBSM431690</v>
          </cell>
        </row>
        <row r="24">
          <cell r="A24" t="str">
            <v>SBSV</v>
          </cell>
          <cell r="B24" t="str">
            <v>DEPUTADO LUÍS EDUARDO MAGALHÃES</v>
          </cell>
          <cell r="C24">
            <v>292740</v>
          </cell>
          <cell r="D24" t="str">
            <v>SBSV292740</v>
          </cell>
        </row>
        <row r="25">
          <cell r="A25" t="str">
            <v>SBTD</v>
          </cell>
          <cell r="B25" t="str">
            <v>AEROPORTO LUÍS DAL CANALLE FILHO</v>
          </cell>
          <cell r="C25">
            <v>412770</v>
          </cell>
          <cell r="D25" t="str">
            <v>SBTD412770</v>
          </cell>
        </row>
        <row r="26">
          <cell r="A26" t="str">
            <v>SBZM</v>
          </cell>
          <cell r="B26" t="str">
            <v>REGIONAL DA ZONA DA MATA</v>
          </cell>
          <cell r="C26">
            <v>312738</v>
          </cell>
          <cell r="D26" t="str">
            <v>SBZM312738</v>
          </cell>
        </row>
        <row r="27">
          <cell r="A27" t="str">
            <v>SDRK</v>
          </cell>
          <cell r="B27" t="str">
            <v>AEROPORTO DE RIO CLARO</v>
          </cell>
          <cell r="C27">
            <v>354390</v>
          </cell>
          <cell r="D27" t="str">
            <v>SDRK354390</v>
          </cell>
        </row>
        <row r="28">
          <cell r="A28" t="str">
            <v>SWBC</v>
          </cell>
          <cell r="B28" t="str">
            <v>BARCELOS</v>
          </cell>
          <cell r="C28">
            <v>130040</v>
          </cell>
          <cell r="D28" t="str">
            <v>SWBC130040</v>
          </cell>
        </row>
        <row r="29">
          <cell r="A29" t="str">
            <v>SBAC</v>
          </cell>
          <cell r="B29" t="str">
            <v>ARACATI</v>
          </cell>
          <cell r="C29">
            <v>230110</v>
          </cell>
          <cell r="D29" t="str">
            <v>SNAT230110</v>
          </cell>
        </row>
        <row r="30">
          <cell r="A30" t="str">
            <v>SBAT</v>
          </cell>
          <cell r="B30" t="str">
            <v>PILOTO OSVALDO MARQUES DIAS</v>
          </cell>
          <cell r="C30">
            <v>510025</v>
          </cell>
          <cell r="D30" t="str">
            <v>SBAT510025</v>
          </cell>
        </row>
        <row r="31">
          <cell r="A31" t="str">
            <v>SBAU</v>
          </cell>
          <cell r="B31" t="str">
            <v>AEROPORTO ESTADUAL DARIO GUARITA</v>
          </cell>
          <cell r="C31">
            <v>350280</v>
          </cell>
          <cell r="D31" t="str">
            <v>SBAU350280</v>
          </cell>
        </row>
        <row r="32">
          <cell r="A32" t="str">
            <v>SBAX</v>
          </cell>
          <cell r="B32" t="str">
            <v>ROMEU ZEMA</v>
          </cell>
          <cell r="C32">
            <v>310400</v>
          </cell>
          <cell r="D32" t="str">
            <v>SBAX310400</v>
          </cell>
        </row>
        <row r="33">
          <cell r="A33" t="str">
            <v>SBBE</v>
          </cell>
          <cell r="B33" t="str">
            <v>INTERNACIONAL DE BELÉM/VAL DE CANS/JÚLIO CEZAR RIBEIRO</v>
          </cell>
          <cell r="C33">
            <v>150140</v>
          </cell>
          <cell r="D33" t="str">
            <v>SBBE150140</v>
          </cell>
        </row>
        <row r="34">
          <cell r="A34" t="str">
            <v>SBBG</v>
          </cell>
          <cell r="B34" t="str">
            <v>AEROPORTO COMANDANTE GUSTAVO KRAEMER</v>
          </cell>
          <cell r="C34">
            <v>430160</v>
          </cell>
          <cell r="D34" t="str">
            <v>SBBG430160</v>
          </cell>
        </row>
        <row r="35">
          <cell r="A35" t="str">
            <v>SBBR</v>
          </cell>
          <cell r="B35" t="str">
            <v>PRESIDENTE JUSCELINO KUBITSCHEK</v>
          </cell>
          <cell r="C35">
            <v>530010</v>
          </cell>
          <cell r="D35" t="str">
            <v>SBBR530010</v>
          </cell>
        </row>
        <row r="36">
          <cell r="A36" t="str">
            <v>SBBV</v>
          </cell>
          <cell r="B36" t="str">
            <v>ATLAS BRASIL CANTANHEDE</v>
          </cell>
          <cell r="C36">
            <v>140010</v>
          </cell>
          <cell r="D36" t="str">
            <v>SBBV140010</v>
          </cell>
        </row>
        <row r="37">
          <cell r="A37" t="str">
            <v>SBBW</v>
          </cell>
          <cell r="B37" t="str">
            <v>BARRA DO GARÇAS</v>
          </cell>
          <cell r="C37">
            <v>510180</v>
          </cell>
          <cell r="D37" t="str">
            <v>SBBW510180</v>
          </cell>
        </row>
        <row r="38">
          <cell r="A38" t="str">
            <v>SBCB</v>
          </cell>
          <cell r="B38" t="str">
            <v>AEROPORTO DE CABO FRIO</v>
          </cell>
          <cell r="C38">
            <v>330070</v>
          </cell>
          <cell r="D38" t="str">
            <v>SBCB330070</v>
          </cell>
        </row>
        <row r="39">
          <cell r="A39" t="str">
            <v>SBCF</v>
          </cell>
          <cell r="B39" t="str">
            <v>TANCREDO NEVES</v>
          </cell>
          <cell r="C39">
            <v>311787</v>
          </cell>
          <cell r="D39" t="str">
            <v>SBCF311787</v>
          </cell>
        </row>
        <row r="40">
          <cell r="A40" t="str">
            <v>SBCG</v>
          </cell>
          <cell r="B40" t="str">
            <v>CAMPO GRANDE</v>
          </cell>
          <cell r="C40">
            <v>500270</v>
          </cell>
          <cell r="D40" t="str">
            <v>SBCG500270</v>
          </cell>
        </row>
        <row r="41">
          <cell r="A41" t="str">
            <v>SBCH</v>
          </cell>
          <cell r="B41" t="str">
            <v>AERÓDROMO SERAFIM ENOSS BERTASO</v>
          </cell>
          <cell r="C41">
            <v>420420</v>
          </cell>
          <cell r="D41" t="str">
            <v>SBCH420420</v>
          </cell>
        </row>
        <row r="42">
          <cell r="A42" t="str">
            <v>SBCJ</v>
          </cell>
          <cell r="B42" t="str">
            <v>CARAJÁS</v>
          </cell>
          <cell r="C42">
            <v>150553</v>
          </cell>
          <cell r="D42" t="str">
            <v>SBCJ150553</v>
          </cell>
        </row>
        <row r="43">
          <cell r="A43" t="str">
            <v>SBCP</v>
          </cell>
          <cell r="B43" t="str">
            <v>AEROPORTO BARTOLOMEU LISANDRO</v>
          </cell>
          <cell r="C43">
            <v>330100</v>
          </cell>
          <cell r="D43" t="str">
            <v>SBCP330100</v>
          </cell>
        </row>
        <row r="44">
          <cell r="A44" t="str">
            <v>SBCR</v>
          </cell>
          <cell r="B44" t="str">
            <v>CORUMBÁ</v>
          </cell>
          <cell r="C44">
            <v>500320</v>
          </cell>
          <cell r="D44" t="str">
            <v>SBCR500320</v>
          </cell>
        </row>
        <row r="45">
          <cell r="A45" t="str">
            <v>SBCT</v>
          </cell>
          <cell r="B45" t="str">
            <v>AFONSO PENA</v>
          </cell>
          <cell r="C45">
            <v>412550</v>
          </cell>
          <cell r="D45" t="str">
            <v>SBCT412550</v>
          </cell>
        </row>
        <row r="46">
          <cell r="A46" t="str">
            <v>SBCX</v>
          </cell>
          <cell r="B46" t="str">
            <v>AEROPORTO REGIONAL HUGO CANTERGIANI</v>
          </cell>
          <cell r="C46">
            <v>430510</v>
          </cell>
          <cell r="D46" t="str">
            <v>SBCX430510</v>
          </cell>
        </row>
        <row r="47">
          <cell r="A47" t="str">
            <v>SBCY</v>
          </cell>
          <cell r="B47" t="str">
            <v>MARECHAL RONDON</v>
          </cell>
          <cell r="C47">
            <v>510840</v>
          </cell>
          <cell r="D47" t="str">
            <v>SBCY510840</v>
          </cell>
        </row>
        <row r="48">
          <cell r="A48" t="str">
            <v>SBCZ</v>
          </cell>
          <cell r="B48" t="str">
            <v>AEROPORTO DE CRUZEIRO DO SUL</v>
          </cell>
          <cell r="C48">
            <v>120020</v>
          </cell>
          <cell r="D48" t="str">
            <v>SBCZ120020</v>
          </cell>
        </row>
        <row r="49">
          <cell r="A49" t="str">
            <v>SBDB</v>
          </cell>
          <cell r="B49" t="str">
            <v>BONITO</v>
          </cell>
          <cell r="C49">
            <v>500220</v>
          </cell>
          <cell r="D49" t="str">
            <v>SBDB500220</v>
          </cell>
        </row>
        <row r="50">
          <cell r="A50" t="str">
            <v>SBDN</v>
          </cell>
          <cell r="B50" t="str">
            <v>AEROPORTO DE PRESIDENTE PRUDENTE</v>
          </cell>
          <cell r="C50">
            <v>354140</v>
          </cell>
          <cell r="D50" t="str">
            <v>SBDN354140</v>
          </cell>
        </row>
        <row r="51">
          <cell r="A51" t="str">
            <v>SBDO</v>
          </cell>
          <cell r="B51" t="str">
            <v>DOURADOS</v>
          </cell>
          <cell r="C51">
            <v>500370</v>
          </cell>
          <cell r="D51" t="str">
            <v>SBDO500370</v>
          </cell>
        </row>
        <row r="52">
          <cell r="A52" t="str">
            <v>SBEG</v>
          </cell>
          <cell r="B52" t="str">
            <v>EDUARDO GOMES</v>
          </cell>
          <cell r="C52">
            <v>130260</v>
          </cell>
          <cell r="D52" t="str">
            <v>SBEG130260</v>
          </cell>
        </row>
        <row r="53">
          <cell r="A53" t="str">
            <v>SBFI</v>
          </cell>
          <cell r="B53" t="str">
            <v>AEROPORTO CATARATAS</v>
          </cell>
          <cell r="C53">
            <v>410830</v>
          </cell>
          <cell r="D53" t="str">
            <v>SBFI410830</v>
          </cell>
        </row>
        <row r="54">
          <cell r="A54" t="str">
            <v>SBFN</v>
          </cell>
          <cell r="B54" t="str">
            <v>FERNANDO DE NORONHA</v>
          </cell>
          <cell r="C54">
            <v>260545</v>
          </cell>
          <cell r="D54" t="str">
            <v>SBFN260545</v>
          </cell>
        </row>
        <row r="55">
          <cell r="A55" t="str">
            <v>SBFZ</v>
          </cell>
          <cell r="B55" t="str">
            <v>PINTO MARTINS</v>
          </cell>
          <cell r="C55">
            <v>230440</v>
          </cell>
          <cell r="D55" t="str">
            <v>SBFZ230440</v>
          </cell>
        </row>
        <row r="56">
          <cell r="A56" t="str">
            <v>SBGL</v>
          </cell>
          <cell r="B56" t="str">
            <v>AEROPORTO INTERNACIONAL DO RIO DE JANEIRO/GALEÃO – ANTONIO CARLOS JOBIM</v>
          </cell>
          <cell r="C56">
            <v>330455</v>
          </cell>
          <cell r="D56" t="str">
            <v>SBGL330455</v>
          </cell>
        </row>
        <row r="57">
          <cell r="A57" t="str">
            <v>SBGM</v>
          </cell>
          <cell r="B57" t="str">
            <v>AEROPORTO DE GUAJARÁ-MIRIM</v>
          </cell>
          <cell r="C57">
            <v>110010</v>
          </cell>
          <cell r="D57" t="str">
            <v>SBGM110010</v>
          </cell>
        </row>
        <row r="58">
          <cell r="A58" t="str">
            <v>SBGO</v>
          </cell>
          <cell r="B58" t="str">
            <v>SANTA GENOVEVA/GOIÂNIA</v>
          </cell>
          <cell r="C58">
            <v>520870</v>
          </cell>
          <cell r="D58" t="str">
            <v>SBGO520870</v>
          </cell>
        </row>
        <row r="59">
          <cell r="A59" t="str">
            <v>SBHT</v>
          </cell>
          <cell r="B59" t="str">
            <v>ALTAMIRA</v>
          </cell>
          <cell r="C59">
            <v>150060</v>
          </cell>
          <cell r="D59" t="str">
            <v>SBHT150060</v>
          </cell>
        </row>
        <row r="60">
          <cell r="A60" t="str">
            <v>SBIC</v>
          </cell>
          <cell r="B60" t="str">
            <v>ITACOATIARA</v>
          </cell>
          <cell r="C60">
            <v>130190</v>
          </cell>
          <cell r="D60" t="str">
            <v>SBIC130190</v>
          </cell>
        </row>
        <row r="61">
          <cell r="A61" t="str">
            <v>SBIL</v>
          </cell>
          <cell r="B61" t="str">
            <v>BAHIA - JORGE AMADO</v>
          </cell>
          <cell r="C61">
            <v>291360</v>
          </cell>
          <cell r="D61" t="str">
            <v>SBIL291360</v>
          </cell>
        </row>
        <row r="62">
          <cell r="A62" t="str">
            <v>SBIP</v>
          </cell>
          <cell r="B62" t="str">
            <v>USIMINAS</v>
          </cell>
          <cell r="C62">
            <v>315895</v>
          </cell>
          <cell r="D62" t="str">
            <v>SBIP315895</v>
          </cell>
        </row>
        <row r="63">
          <cell r="A63" t="str">
            <v>SBJE</v>
          </cell>
          <cell r="B63" t="str">
            <v>POLO TURÍSTICO DE JERICOACOARA</v>
          </cell>
          <cell r="C63">
            <v>230425</v>
          </cell>
          <cell r="D63" t="str">
            <v>SBJE230425</v>
          </cell>
        </row>
        <row r="64">
          <cell r="A64" t="str">
            <v>SBJI</v>
          </cell>
          <cell r="B64" t="str">
            <v>AEROPORTO DE JI-PARANÁ</v>
          </cell>
          <cell r="C64">
            <v>110012</v>
          </cell>
          <cell r="D64" t="str">
            <v>SBJI110012</v>
          </cell>
        </row>
        <row r="65">
          <cell r="A65" t="str">
            <v>SBJP</v>
          </cell>
          <cell r="B65" t="str">
            <v>PRESIDENTE CASTRO PINTO</v>
          </cell>
          <cell r="C65">
            <v>250180</v>
          </cell>
          <cell r="D65" t="str">
            <v>SBJP250180</v>
          </cell>
        </row>
        <row r="66">
          <cell r="A66" t="str">
            <v>SBJV</v>
          </cell>
          <cell r="B66" t="str">
            <v>AEROPORTO LAURO CARNEIRO DE LOYOLA</v>
          </cell>
          <cell r="C66">
            <v>420910</v>
          </cell>
          <cell r="D66" t="str">
            <v>SBJV420910</v>
          </cell>
        </row>
        <row r="67">
          <cell r="A67" t="str">
            <v>SBKG</v>
          </cell>
          <cell r="B67" t="str">
            <v>PRESIDENTE JOÃO SUASSUNA</v>
          </cell>
          <cell r="C67">
            <v>250400</v>
          </cell>
          <cell r="D67" t="str">
            <v>SBKG250400</v>
          </cell>
        </row>
        <row r="68">
          <cell r="A68" t="str">
            <v>SBKP</v>
          </cell>
          <cell r="B68" t="str">
            <v>VIRACOPOS</v>
          </cell>
          <cell r="C68">
            <v>350950</v>
          </cell>
          <cell r="D68" t="str">
            <v>SBKP350950</v>
          </cell>
        </row>
        <row r="69">
          <cell r="A69" t="str">
            <v>SBLO</v>
          </cell>
          <cell r="B69" t="str">
            <v>AEROPORTO GOVERNADOR JOSÉ RICHA</v>
          </cell>
          <cell r="C69">
            <v>411370</v>
          </cell>
          <cell r="D69" t="str">
            <v>SBLO411370</v>
          </cell>
        </row>
        <row r="70">
          <cell r="A70" t="str">
            <v>SBMA</v>
          </cell>
          <cell r="B70" t="str">
            <v>JOÃO CORREA DA ROCHA</v>
          </cell>
          <cell r="C70">
            <v>150420</v>
          </cell>
          <cell r="D70" t="str">
            <v>SBMA150420</v>
          </cell>
        </row>
        <row r="71">
          <cell r="A71" t="str">
            <v>SBMD</v>
          </cell>
          <cell r="B71" t="str">
            <v>MONTE DOURADO</v>
          </cell>
          <cell r="C71">
            <v>150050</v>
          </cell>
          <cell r="D71" t="str">
            <v>SBMD150050</v>
          </cell>
        </row>
        <row r="72">
          <cell r="A72" t="str">
            <v>SBME</v>
          </cell>
          <cell r="B72" t="str">
            <v>AEROPORTO DE MACAÉ</v>
          </cell>
          <cell r="C72">
            <v>330240</v>
          </cell>
          <cell r="D72" t="str">
            <v>SBME330240</v>
          </cell>
        </row>
        <row r="73">
          <cell r="A73" t="str">
            <v>SBMG</v>
          </cell>
          <cell r="B73" t="str">
            <v>AEROPORTO SÍLVIO NAME JÚNIOR</v>
          </cell>
          <cell r="C73">
            <v>411520</v>
          </cell>
          <cell r="D73" t="str">
            <v>SBMG411520</v>
          </cell>
        </row>
        <row r="74">
          <cell r="A74" t="str">
            <v>SBMK</v>
          </cell>
          <cell r="B74" t="str">
            <v>MÁRIO RIBEIRO</v>
          </cell>
          <cell r="C74">
            <v>314330</v>
          </cell>
          <cell r="D74" t="str">
            <v>SBMK314330</v>
          </cell>
        </row>
        <row r="75">
          <cell r="A75" t="str">
            <v>SBML</v>
          </cell>
          <cell r="B75" t="str">
            <v>AEROPORTO FRANK MILOYE MILENKOVICH</v>
          </cell>
          <cell r="C75">
            <v>352900</v>
          </cell>
          <cell r="D75" t="str">
            <v>SBML352900</v>
          </cell>
        </row>
        <row r="76">
          <cell r="A76" t="str">
            <v>SBMS</v>
          </cell>
          <cell r="B76" t="str">
            <v>AEROPORTO DIX-SEPT ROSADO</v>
          </cell>
          <cell r="C76">
            <v>240800</v>
          </cell>
          <cell r="D76" t="str">
            <v>SBMS240800</v>
          </cell>
        </row>
        <row r="77">
          <cell r="A77" t="str">
            <v>SBMY</v>
          </cell>
          <cell r="B77" t="str">
            <v>MANICORÉ</v>
          </cell>
          <cell r="C77">
            <v>130270</v>
          </cell>
          <cell r="D77" t="str">
            <v>SBMY130270</v>
          </cell>
        </row>
        <row r="78">
          <cell r="A78" t="str">
            <v>SBNF</v>
          </cell>
          <cell r="B78" t="str">
            <v>AEROPORTO MINISTRO VICTOR KONDER</v>
          </cell>
          <cell r="C78">
            <v>421130</v>
          </cell>
          <cell r="D78" t="str">
            <v>SBNF421130</v>
          </cell>
        </row>
        <row r="79">
          <cell r="A79" t="str">
            <v>SBNM</v>
          </cell>
          <cell r="B79" t="str">
            <v>AEROPORTO DE SANTO ÂNGELO</v>
          </cell>
          <cell r="C79">
            <v>431750</v>
          </cell>
          <cell r="D79" t="str">
            <v>SBNM431750</v>
          </cell>
        </row>
        <row r="80">
          <cell r="A80" t="str">
            <v>SBOI</v>
          </cell>
          <cell r="B80" t="str">
            <v>OIAPOQUE</v>
          </cell>
          <cell r="C80">
            <v>160050</v>
          </cell>
          <cell r="D80" t="str">
            <v>SBOI160050</v>
          </cell>
        </row>
        <row r="81">
          <cell r="A81" t="str">
            <v>SBPA</v>
          </cell>
          <cell r="B81" t="str">
            <v>SALGADO FILHO</v>
          </cell>
          <cell r="C81">
            <v>431490</v>
          </cell>
          <cell r="D81" t="str">
            <v>SBPA431490</v>
          </cell>
        </row>
        <row r="82">
          <cell r="A82" t="str">
            <v>SBPB</v>
          </cell>
          <cell r="B82" t="str">
            <v>AEROPORTO PREFEITO DOUTOR JOÃO SILVA FILHO</v>
          </cell>
          <cell r="C82">
            <v>220770</v>
          </cell>
          <cell r="D82" t="str">
            <v>SBPB220770</v>
          </cell>
        </row>
        <row r="83">
          <cell r="A83" t="str">
            <v>SBPF</v>
          </cell>
          <cell r="B83" t="str">
            <v>AEROPORTO LAURO KURTZ</v>
          </cell>
          <cell r="C83">
            <v>431410</v>
          </cell>
          <cell r="D83" t="str">
            <v>SBPF431410</v>
          </cell>
        </row>
        <row r="84">
          <cell r="A84" t="str">
            <v>SBPG</v>
          </cell>
          <cell r="B84" t="str">
            <v>AEROPORTO COMANDANTE ANTONIO AMILTON BERALDO</v>
          </cell>
          <cell r="C84">
            <v>411990</v>
          </cell>
          <cell r="D84" t="str">
            <v>SSZW411990</v>
          </cell>
        </row>
        <row r="85">
          <cell r="A85" t="str">
            <v>SBPJ</v>
          </cell>
          <cell r="B85" t="str">
            <v>BRIGADEIRO LYSIAS RODRIGUES</v>
          </cell>
          <cell r="C85">
            <v>172100</v>
          </cell>
          <cell r="D85" t="str">
            <v>SBPJ172100</v>
          </cell>
        </row>
        <row r="86">
          <cell r="A86" t="str">
            <v>SBPK</v>
          </cell>
          <cell r="B86" t="str">
            <v>AEROPORTO INTERNACIONAL DE PELOTAS - JOÃO SIMÕES LOPES NETO</v>
          </cell>
          <cell r="C86">
            <v>431440</v>
          </cell>
          <cell r="D86" t="str">
            <v>SBPK431440</v>
          </cell>
        </row>
        <row r="87">
          <cell r="A87" t="str">
            <v>SBPL</v>
          </cell>
          <cell r="B87" t="str">
            <v>SENADOR NILO COELHO</v>
          </cell>
          <cell r="C87">
            <v>261110</v>
          </cell>
          <cell r="D87" t="str">
            <v>SBPL261110</v>
          </cell>
        </row>
        <row r="88">
          <cell r="A88" t="str">
            <v>SBPO</v>
          </cell>
          <cell r="B88" t="str">
            <v>AEROPORTO JUVENAL LOUREIRO CARDOSO</v>
          </cell>
          <cell r="C88">
            <v>411850</v>
          </cell>
          <cell r="D88" t="str">
            <v>SSPB411850</v>
          </cell>
        </row>
        <row r="89">
          <cell r="A89" t="str">
            <v>SBPP</v>
          </cell>
          <cell r="B89" t="str">
            <v>PONTA PORÃ</v>
          </cell>
          <cell r="C89">
            <v>500660</v>
          </cell>
          <cell r="D89" t="str">
            <v>SBPP500660</v>
          </cell>
        </row>
        <row r="90">
          <cell r="A90" t="str">
            <v>SBPS</v>
          </cell>
          <cell r="B90" t="str">
            <v>PORTO SEGURO</v>
          </cell>
          <cell r="C90">
            <v>292530</v>
          </cell>
          <cell r="D90" t="str">
            <v>SBPS292530</v>
          </cell>
        </row>
        <row r="91">
          <cell r="A91" t="str">
            <v>SBPV</v>
          </cell>
          <cell r="B91" t="str">
            <v>GOVERNADOR JORGE TEIXEIRA DE OLIVEIRA</v>
          </cell>
          <cell r="C91">
            <v>110020</v>
          </cell>
          <cell r="D91" t="str">
            <v>SBPV110020</v>
          </cell>
        </row>
        <row r="92">
          <cell r="A92" t="str">
            <v>SBRB</v>
          </cell>
          <cell r="B92" t="str">
            <v>PLÁCIDO DE CASTRO</v>
          </cell>
          <cell r="C92">
            <v>120040</v>
          </cell>
          <cell r="D92" t="str">
            <v>SBRB120040</v>
          </cell>
        </row>
        <row r="93">
          <cell r="A93" t="str">
            <v>SBRD</v>
          </cell>
          <cell r="B93" t="str">
            <v>RONDONÓPOLIS</v>
          </cell>
          <cell r="C93">
            <v>510760</v>
          </cell>
          <cell r="D93" t="str">
            <v>SBRD510760</v>
          </cell>
        </row>
        <row r="94">
          <cell r="A94" t="str">
            <v>SBRF</v>
          </cell>
          <cell r="B94" t="str">
            <v>GUARARAPES - GILBERTO FREYRE</v>
          </cell>
          <cell r="C94">
            <v>261160</v>
          </cell>
          <cell r="D94" t="str">
            <v>SBRF261160</v>
          </cell>
        </row>
        <row r="95">
          <cell r="A95" t="str">
            <v>SBRJ</v>
          </cell>
          <cell r="B95" t="str">
            <v>SANTOS DUMONT</v>
          </cell>
          <cell r="C95">
            <v>330455</v>
          </cell>
          <cell r="D95" t="str">
            <v>SBRJ330455</v>
          </cell>
        </row>
        <row r="96">
          <cell r="A96" t="str">
            <v>SBRP</v>
          </cell>
          <cell r="B96" t="str">
            <v>AEROPORTO LEITE LOPES</v>
          </cell>
          <cell r="C96">
            <v>354340</v>
          </cell>
          <cell r="D96" t="str">
            <v>SBRP354340</v>
          </cell>
        </row>
        <row r="97">
          <cell r="A97" t="str">
            <v>SBSG</v>
          </cell>
          <cell r="B97" t="str">
            <v>GOVERNADOR ALUIZIO ALVES</v>
          </cell>
          <cell r="C97">
            <v>241200</v>
          </cell>
          <cell r="D97" t="str">
            <v>SBSG241200</v>
          </cell>
        </row>
        <row r="98">
          <cell r="A98" t="str">
            <v>SBSI</v>
          </cell>
          <cell r="B98" t="str">
            <v>PRESIDENTE JOÃO BATISTA FIGUEIREDO</v>
          </cell>
          <cell r="C98">
            <v>510790</v>
          </cell>
          <cell r="D98" t="str">
            <v>SWSI510790</v>
          </cell>
        </row>
        <row r="99">
          <cell r="A99" t="str">
            <v>SBSJ</v>
          </cell>
          <cell r="B99" t="str">
            <v>AEROPORTO PROFESSOR URBANO ERNESTO STUMPF</v>
          </cell>
          <cell r="C99">
            <v>354990</v>
          </cell>
          <cell r="D99" t="str">
            <v>SBSJ354990</v>
          </cell>
        </row>
        <row r="100">
          <cell r="A100" t="str">
            <v>SBSL</v>
          </cell>
          <cell r="B100" t="str">
            <v>MARECHAL CUNHA MACHADO</v>
          </cell>
          <cell r="C100">
            <v>211130</v>
          </cell>
          <cell r="D100" t="str">
            <v>SBSL211130</v>
          </cell>
        </row>
        <row r="101">
          <cell r="A101" t="str">
            <v>SBSN</v>
          </cell>
          <cell r="B101" t="str">
            <v>MAESTRO WILSON FONSECA</v>
          </cell>
          <cell r="C101">
            <v>150680</v>
          </cell>
          <cell r="D101" t="str">
            <v>SBSN150680</v>
          </cell>
        </row>
        <row r="102">
          <cell r="A102" t="str">
            <v>SBSO</v>
          </cell>
          <cell r="B102" t="str">
            <v>REGIONAL DE SORRISO ADOLINO BEDIN</v>
          </cell>
          <cell r="C102">
            <v>510792</v>
          </cell>
          <cell r="D102" t="str">
            <v>SBSO510792</v>
          </cell>
        </row>
        <row r="103">
          <cell r="A103" t="str">
            <v>SBSP</v>
          </cell>
          <cell r="B103" t="str">
            <v>CONGONHAS</v>
          </cell>
          <cell r="C103">
            <v>355030</v>
          </cell>
          <cell r="D103" t="str">
            <v>SBSP355030</v>
          </cell>
        </row>
        <row r="104">
          <cell r="A104" t="str">
            <v>SBSR</v>
          </cell>
          <cell r="B104" t="str">
            <v>AEROPORTO PROFESSOR ERIBERTO MANOEL REINO</v>
          </cell>
          <cell r="C104">
            <v>354980</v>
          </cell>
          <cell r="D104" t="str">
            <v>SBSR354980</v>
          </cell>
        </row>
        <row r="105">
          <cell r="A105" t="str">
            <v>SBTB</v>
          </cell>
          <cell r="B105" t="str">
            <v>TROMBETAS</v>
          </cell>
          <cell r="C105">
            <v>150530</v>
          </cell>
          <cell r="D105" t="str">
            <v>SBTB150530</v>
          </cell>
        </row>
        <row r="106">
          <cell r="A106" t="str">
            <v>SBTC</v>
          </cell>
          <cell r="B106" t="str">
            <v>HOTEL TRANSAMÉRICA</v>
          </cell>
          <cell r="C106">
            <v>293250</v>
          </cell>
          <cell r="D106" t="str">
            <v>SBTC293250</v>
          </cell>
        </row>
        <row r="107">
          <cell r="A107" t="str">
            <v>SBTE</v>
          </cell>
          <cell r="B107" t="str">
            <v>SENADOR PETRÔNIO PORTELLA</v>
          </cell>
          <cell r="C107">
            <v>221100</v>
          </cell>
          <cell r="D107" t="str">
            <v>SBTE221100</v>
          </cell>
        </row>
        <row r="108">
          <cell r="A108" t="str">
            <v>SBTF</v>
          </cell>
          <cell r="B108" t="str">
            <v>TEFÉ</v>
          </cell>
          <cell r="C108">
            <v>130420</v>
          </cell>
          <cell r="D108" t="str">
            <v>SBTF130420</v>
          </cell>
        </row>
        <row r="109">
          <cell r="A109" t="str">
            <v>SBTG</v>
          </cell>
          <cell r="B109" t="str">
            <v>TRÊS LAGOAS</v>
          </cell>
          <cell r="C109">
            <v>500830</v>
          </cell>
          <cell r="D109" t="str">
            <v>SBTG500830</v>
          </cell>
        </row>
        <row r="110">
          <cell r="A110" t="str">
            <v>SBTK</v>
          </cell>
          <cell r="B110" t="str">
            <v>AEROPORTO DE TARAUACÁ</v>
          </cell>
          <cell r="C110">
            <v>120060</v>
          </cell>
          <cell r="D110" t="str">
            <v>SBTK120060</v>
          </cell>
        </row>
        <row r="111">
          <cell r="A111" t="str">
            <v>SBTT</v>
          </cell>
          <cell r="B111" t="str">
            <v>TABATINGA</v>
          </cell>
          <cell r="C111">
            <v>130406</v>
          </cell>
          <cell r="D111" t="str">
            <v>SBTT130406</v>
          </cell>
        </row>
        <row r="112">
          <cell r="A112" t="str">
            <v>SBTU</v>
          </cell>
          <cell r="B112" t="str">
            <v>TUCURUÍ</v>
          </cell>
          <cell r="C112">
            <v>150810</v>
          </cell>
          <cell r="D112" t="str">
            <v>SBTU150810</v>
          </cell>
        </row>
        <row r="113">
          <cell r="A113" t="str">
            <v>SBUA</v>
          </cell>
          <cell r="B113" t="str">
            <v>SÃO GABRIEL DA CACHOEIRA</v>
          </cell>
          <cell r="C113">
            <v>130380</v>
          </cell>
          <cell r="D113" t="str">
            <v>SBUA130380</v>
          </cell>
        </row>
        <row r="114">
          <cell r="A114" t="str">
            <v>SBUF</v>
          </cell>
          <cell r="B114" t="str">
            <v>PAULO AFONSO</v>
          </cell>
          <cell r="C114">
            <v>292400</v>
          </cell>
          <cell r="D114" t="str">
            <v>SBUF292400</v>
          </cell>
        </row>
        <row r="115">
          <cell r="A115" t="str">
            <v>SBUG</v>
          </cell>
          <cell r="B115" t="str">
            <v>AEROPORTO RUBEM BERTA</v>
          </cell>
          <cell r="C115">
            <v>432240</v>
          </cell>
          <cell r="D115" t="str">
            <v>SBUG432240</v>
          </cell>
        </row>
        <row r="116">
          <cell r="A116" t="str">
            <v>SBUL</v>
          </cell>
          <cell r="B116" t="str">
            <v>TEN CEL AVIADOR CÉSAR BOMBONATO</v>
          </cell>
          <cell r="C116">
            <v>317020</v>
          </cell>
          <cell r="D116" t="str">
            <v>SBUL317020</v>
          </cell>
        </row>
        <row r="117">
          <cell r="A117" t="str">
            <v>SBUR</v>
          </cell>
          <cell r="B117" t="str">
            <v>MARIO DE ALMEIDA FRANCO</v>
          </cell>
          <cell r="C117">
            <v>317010</v>
          </cell>
          <cell r="D117" t="str">
            <v>SBUR317010</v>
          </cell>
        </row>
        <row r="118">
          <cell r="A118" t="str">
            <v>SBVG</v>
          </cell>
          <cell r="B118" t="str">
            <v>MAJOR BRIGADEIRO TROMPOWSKY</v>
          </cell>
          <cell r="C118">
            <v>317070</v>
          </cell>
          <cell r="D118" t="str">
            <v>SBVG317070</v>
          </cell>
        </row>
        <row r="119">
          <cell r="A119" t="str">
            <v>SBVH</v>
          </cell>
          <cell r="B119" t="str">
            <v>AEROPORTO DE VILHENA</v>
          </cell>
          <cell r="C119">
            <v>110030</v>
          </cell>
          <cell r="D119" t="str">
            <v>SBVH110030</v>
          </cell>
        </row>
        <row r="120">
          <cell r="A120" t="str">
            <v>SBVT</v>
          </cell>
          <cell r="B120" t="str">
            <v>EURICO DE AGUIAR SALLES</v>
          </cell>
          <cell r="C120">
            <v>320530</v>
          </cell>
          <cell r="D120" t="str">
            <v>SBVT320530</v>
          </cell>
        </row>
        <row r="121">
          <cell r="A121" t="str">
            <v>SDIY</v>
          </cell>
          <cell r="B121" t="str">
            <v>JOÃO DURVAL CARNEIRO</v>
          </cell>
          <cell r="C121">
            <v>291080</v>
          </cell>
          <cell r="D121" t="str">
            <v>SBFE291080</v>
          </cell>
        </row>
        <row r="122">
          <cell r="A122" t="str">
            <v>SJOG</v>
          </cell>
          <cell r="B122" t="str">
            <v>AEROPORTO DE ARIQUEMES</v>
          </cell>
          <cell r="C122">
            <v>110002</v>
          </cell>
          <cell r="D122" t="str">
            <v>SJOG110002</v>
          </cell>
        </row>
        <row r="123">
          <cell r="A123" t="str">
            <v>SNBN</v>
          </cell>
          <cell r="B123" t="str">
            <v>-</v>
          </cell>
          <cell r="C123">
            <v>150170</v>
          </cell>
          <cell r="D123" t="str">
            <v>SNBN150170</v>
          </cell>
        </row>
        <row r="124">
          <cell r="A124" t="str">
            <v>SNBR</v>
          </cell>
          <cell r="B124" t="str">
            <v>BARREIRAS</v>
          </cell>
          <cell r="C124">
            <v>290320</v>
          </cell>
          <cell r="D124" t="str">
            <v>SNBR290320</v>
          </cell>
        </row>
        <row r="125">
          <cell r="A125" t="str">
            <v>SNDB</v>
          </cell>
          <cell r="B125" t="str">
            <v>RURÓPOLIS</v>
          </cell>
          <cell r="C125">
            <v>150619</v>
          </cell>
          <cell r="D125" t="str">
            <v>SNDB150619</v>
          </cell>
        </row>
        <row r="126">
          <cell r="A126" t="str">
            <v>SNCZ</v>
          </cell>
          <cell r="B126" t="str">
            <v>PONTE NOVA</v>
          </cell>
          <cell r="C126">
            <v>315210</v>
          </cell>
          <cell r="D126" t="str">
            <v>SNCZ315210</v>
          </cell>
        </row>
        <row r="127">
          <cell r="A127" t="str">
            <v>SNDC</v>
          </cell>
          <cell r="B127" t="str">
            <v>REDENÇÃO</v>
          </cell>
          <cell r="C127">
            <v>150613</v>
          </cell>
          <cell r="D127" t="str">
            <v>SNLC150613</v>
          </cell>
        </row>
        <row r="128">
          <cell r="A128" t="str">
            <v>SNDV</v>
          </cell>
          <cell r="B128" t="str">
            <v>BRIGADEIRO ANTÔNIO CABRAL</v>
          </cell>
          <cell r="C128">
            <v>312230</v>
          </cell>
          <cell r="D128" t="str">
            <v>SNDV312230</v>
          </cell>
        </row>
        <row r="129">
          <cell r="A129" t="str">
            <v>SNEB</v>
          </cell>
          <cell r="B129" t="str">
            <v>AERÓDROMO DE PARAGOMINAS</v>
          </cell>
          <cell r="C129">
            <v>150550</v>
          </cell>
          <cell r="D129" t="str">
            <v>SNEB150550</v>
          </cell>
        </row>
        <row r="130">
          <cell r="A130" t="str">
            <v>SNFX</v>
          </cell>
          <cell r="B130" t="str">
            <v>SÃO FÉLIX DO XINGU</v>
          </cell>
          <cell r="C130">
            <v>150730</v>
          </cell>
          <cell r="D130" t="str">
            <v>SNFX150730</v>
          </cell>
        </row>
        <row r="131">
          <cell r="A131" t="str">
            <v>SNGI</v>
          </cell>
          <cell r="B131" t="str">
            <v>GUANAMBI</v>
          </cell>
          <cell r="C131">
            <v>291170</v>
          </cell>
          <cell r="D131" t="str">
            <v>SNGI291170</v>
          </cell>
        </row>
        <row r="132">
          <cell r="A132" t="str">
            <v>SNHS</v>
          </cell>
          <cell r="B132" t="str">
            <v>AEROPORTO SANTA MAGALHÃES</v>
          </cell>
          <cell r="C132">
            <v>261390</v>
          </cell>
          <cell r="D132" t="str">
            <v>SNHS261390</v>
          </cell>
        </row>
        <row r="133">
          <cell r="A133" t="str">
            <v>SNIN</v>
          </cell>
          <cell r="B133" t="str">
            <v>PRAINHA</v>
          </cell>
          <cell r="C133">
            <v>150600</v>
          </cell>
          <cell r="D133" t="str">
            <v>SNIN150600</v>
          </cell>
        </row>
        <row r="134">
          <cell r="A134" t="str">
            <v>SNIG</v>
          </cell>
          <cell r="B134" t="str">
            <v>IGUATU</v>
          </cell>
          <cell r="C134">
            <v>230550</v>
          </cell>
          <cell r="D134" t="str">
            <v>SNIG230550</v>
          </cell>
        </row>
        <row r="135">
          <cell r="A135" t="str">
            <v>SNLN</v>
          </cell>
          <cell r="B135" t="str">
            <v>MUNICIPAL DE LINHARES</v>
          </cell>
          <cell r="C135">
            <v>320320</v>
          </cell>
          <cell r="D135" t="str">
            <v>SNLN320320</v>
          </cell>
        </row>
        <row r="136">
          <cell r="A136" t="str">
            <v>SNMA</v>
          </cell>
          <cell r="B136" t="str">
            <v>MONTE ALEGRE</v>
          </cell>
          <cell r="C136">
            <v>150480</v>
          </cell>
          <cell r="D136" t="str">
            <v>SNMA150480</v>
          </cell>
        </row>
        <row r="137">
          <cell r="A137" t="str">
            <v>SNOB</v>
          </cell>
          <cell r="B137" t="str">
            <v>VIRGÍLIO TÁVORA</v>
          </cell>
          <cell r="C137">
            <v>231290</v>
          </cell>
          <cell r="D137" t="str">
            <v>SNOB231290</v>
          </cell>
        </row>
        <row r="138">
          <cell r="A138" t="str">
            <v>SNPC</v>
          </cell>
          <cell r="B138" t="str">
            <v>AEROPORTO DE PICOS</v>
          </cell>
          <cell r="C138">
            <v>220800</v>
          </cell>
          <cell r="D138" t="str">
            <v>SNPC220800</v>
          </cell>
        </row>
        <row r="139">
          <cell r="A139" t="str">
            <v>SNRU</v>
          </cell>
          <cell r="B139" t="str">
            <v>OSCAR LARANJEIRAS</v>
          </cell>
          <cell r="C139">
            <v>260410</v>
          </cell>
          <cell r="D139" t="str">
            <v>SNRU260410</v>
          </cell>
        </row>
        <row r="140">
          <cell r="A140" t="str">
            <v>SNSS</v>
          </cell>
          <cell r="B140" t="str">
            <v>SALINAS</v>
          </cell>
          <cell r="C140">
            <v>315700</v>
          </cell>
          <cell r="D140" t="str">
            <v>SNSS315700</v>
          </cell>
        </row>
        <row r="141">
          <cell r="A141" t="str">
            <v>SNTF</v>
          </cell>
          <cell r="B141" t="str">
            <v>TEIXEIRA DE FREITAS</v>
          </cell>
          <cell r="C141">
            <v>293135</v>
          </cell>
          <cell r="D141" t="str">
            <v>SNTF293135</v>
          </cell>
        </row>
        <row r="142">
          <cell r="A142" t="str">
            <v>SNTI</v>
          </cell>
          <cell r="B142" t="str">
            <v>ÓBIDOS</v>
          </cell>
          <cell r="C142">
            <v>150510</v>
          </cell>
          <cell r="D142" t="str">
            <v>SNTI150510</v>
          </cell>
        </row>
        <row r="143">
          <cell r="A143" t="str">
            <v>SNTS</v>
          </cell>
          <cell r="B143" t="str">
            <v>AEROPORTO BRIGADEIRO FIRMINO AYRES</v>
          </cell>
          <cell r="C143">
            <v>251080</v>
          </cell>
          <cell r="D143" t="str">
            <v>SNTS251080</v>
          </cell>
        </row>
        <row r="144">
          <cell r="A144" t="str">
            <v>SNVS</v>
          </cell>
          <cell r="B144" t="str">
            <v>BREVES</v>
          </cell>
          <cell r="C144">
            <v>150180</v>
          </cell>
          <cell r="D144" t="str">
            <v>SNVS150180</v>
          </cell>
        </row>
        <row r="145">
          <cell r="A145" t="str">
            <v>SNXW</v>
          </cell>
          <cell r="B145" t="str">
            <v>CHAVES</v>
          </cell>
          <cell r="C145">
            <v>150250</v>
          </cell>
          <cell r="D145" t="str">
            <v>SNXW150250</v>
          </cell>
        </row>
        <row r="146">
          <cell r="A146" t="str">
            <v>SNZA</v>
          </cell>
          <cell r="B146" t="str">
            <v>POUSO ALEGRE</v>
          </cell>
          <cell r="C146">
            <v>315250</v>
          </cell>
          <cell r="D146" t="str">
            <v>SNZA315250</v>
          </cell>
        </row>
        <row r="147">
          <cell r="A147" t="str">
            <v>SNZR</v>
          </cell>
          <cell r="B147" t="str">
            <v>PARACATU</v>
          </cell>
          <cell r="C147">
            <v>314700</v>
          </cell>
          <cell r="D147" t="str">
            <v>SNZR314700</v>
          </cell>
        </row>
        <row r="148">
          <cell r="A148" t="str">
            <v>SSGG</v>
          </cell>
          <cell r="B148" t="str">
            <v>AEROPORTO TANCREDO THOMAS DE FARIA</v>
          </cell>
          <cell r="C148">
            <v>410940</v>
          </cell>
          <cell r="D148" t="str">
            <v>SBGU410940</v>
          </cell>
        </row>
        <row r="149">
          <cell r="A149" t="str">
            <v>SSKW</v>
          </cell>
          <cell r="B149" t="str">
            <v>AEROPORTO DE CACOAL</v>
          </cell>
          <cell r="C149">
            <v>110004</v>
          </cell>
          <cell r="D149" t="str">
            <v>SSKW110004</v>
          </cell>
        </row>
        <row r="150">
          <cell r="A150" t="str">
            <v>SSOU</v>
          </cell>
          <cell r="B150" t="str">
            <v>ARIPUANÃ</v>
          </cell>
          <cell r="C150">
            <v>510140</v>
          </cell>
          <cell r="D150" t="str">
            <v>N513510140</v>
          </cell>
        </row>
        <row r="151">
          <cell r="A151" t="str">
            <v>SBVC</v>
          </cell>
          <cell r="B151" t="str">
            <v>GLAUBER DE ANDRADE ROCHA</v>
          </cell>
          <cell r="C151">
            <v>293330</v>
          </cell>
          <cell r="D151" t="str">
            <v>SBVC293330</v>
          </cell>
        </row>
        <row r="152">
          <cell r="A152" t="str">
            <v>SWBR</v>
          </cell>
          <cell r="B152" t="str">
            <v>BORBA</v>
          </cell>
          <cell r="C152">
            <v>130080</v>
          </cell>
          <cell r="D152" t="str">
            <v>SWBR130080</v>
          </cell>
        </row>
        <row r="153">
          <cell r="A153" t="str">
            <v>SWCA</v>
          </cell>
          <cell r="B153" t="str">
            <v>CARAUARI</v>
          </cell>
          <cell r="C153">
            <v>130100</v>
          </cell>
          <cell r="D153" t="str">
            <v>SWCA130100</v>
          </cell>
        </row>
        <row r="154">
          <cell r="A154" t="str">
            <v>SWEI</v>
          </cell>
          <cell r="B154" t="str">
            <v>EIRUNEPÉ</v>
          </cell>
          <cell r="C154">
            <v>130140</v>
          </cell>
          <cell r="D154" t="str">
            <v>SWEI130140</v>
          </cell>
        </row>
        <row r="155">
          <cell r="A155" t="str">
            <v>SWEK</v>
          </cell>
          <cell r="B155" t="str">
            <v>CANARANA</v>
          </cell>
          <cell r="C155">
            <v>510270</v>
          </cell>
          <cell r="D155" t="str">
            <v>SWEK510270</v>
          </cell>
        </row>
        <row r="156">
          <cell r="A156" t="str">
            <v>SWGN</v>
          </cell>
          <cell r="B156" t="str">
            <v>AEROPORTO DE ARAGUAÍNA</v>
          </cell>
          <cell r="C156">
            <v>170210</v>
          </cell>
          <cell r="D156" t="str">
            <v>SWGN170210</v>
          </cell>
        </row>
        <row r="157">
          <cell r="A157" t="str">
            <v>SWJN</v>
          </cell>
          <cell r="B157" t="str">
            <v>JUÍNA</v>
          </cell>
          <cell r="C157">
            <v>510515</v>
          </cell>
          <cell r="D157" t="str">
            <v>SWJN510515</v>
          </cell>
        </row>
        <row r="158">
          <cell r="A158" t="str">
            <v>SWKC</v>
          </cell>
          <cell r="B158" t="str">
            <v>CÁCERES</v>
          </cell>
          <cell r="C158">
            <v>510250</v>
          </cell>
          <cell r="D158" t="str">
            <v>SWKC510250</v>
          </cell>
        </row>
        <row r="159">
          <cell r="A159" t="str">
            <v>SWKO</v>
          </cell>
          <cell r="B159" t="str">
            <v>COARI</v>
          </cell>
          <cell r="C159">
            <v>130120</v>
          </cell>
          <cell r="D159" t="str">
            <v>SWKO130120</v>
          </cell>
        </row>
        <row r="160">
          <cell r="A160" t="str">
            <v>SWKQ</v>
          </cell>
          <cell r="B160" t="str">
            <v>AEROPORTO SERRA DA CAPIVARA</v>
          </cell>
          <cell r="C160">
            <v>221060</v>
          </cell>
          <cell r="D160" t="str">
            <v>SWKQ221060</v>
          </cell>
        </row>
        <row r="161">
          <cell r="A161" t="str">
            <v>SWLB</v>
          </cell>
          <cell r="B161" t="str">
            <v>LÁBREA</v>
          </cell>
          <cell r="C161">
            <v>130240</v>
          </cell>
          <cell r="D161" t="str">
            <v>SWLB130240</v>
          </cell>
        </row>
        <row r="162">
          <cell r="A162" t="str">
            <v>SWLC</v>
          </cell>
          <cell r="B162" t="str">
            <v>GENERAL LEITE DE CASTRO</v>
          </cell>
          <cell r="C162">
            <v>521880</v>
          </cell>
          <cell r="D162" t="str">
            <v>SWLC521880</v>
          </cell>
        </row>
        <row r="163">
          <cell r="A163" t="str">
            <v>SWMW</v>
          </cell>
          <cell r="B163" t="str">
            <v>MAUÉS</v>
          </cell>
          <cell r="C163">
            <v>130290</v>
          </cell>
          <cell r="D163" t="str">
            <v>SWMW130290</v>
          </cell>
        </row>
        <row r="164">
          <cell r="A164" t="str">
            <v>SWPI</v>
          </cell>
          <cell r="B164" t="str">
            <v>PARINTINS</v>
          </cell>
          <cell r="C164">
            <v>130340</v>
          </cell>
          <cell r="D164" t="str">
            <v>SWPI130340</v>
          </cell>
        </row>
        <row r="165">
          <cell r="A165" t="str">
            <v>SWTS</v>
          </cell>
          <cell r="B165" t="str">
            <v>TANGARÁ DA SERRA</v>
          </cell>
          <cell r="C165">
            <v>510795</v>
          </cell>
          <cell r="D165" t="str">
            <v>SWTS510795</v>
          </cell>
        </row>
        <row r="166">
          <cell r="A166" t="str">
            <v>SWUA</v>
          </cell>
          <cell r="B166" t="str">
            <v>SÃO MIGUEL DO ARAGUAIA</v>
          </cell>
          <cell r="C166">
            <v>522020</v>
          </cell>
          <cell r="D166" t="str">
            <v>SWUA522020</v>
          </cell>
        </row>
        <row r="167">
          <cell r="A167" t="str">
            <v>SWWK</v>
          </cell>
          <cell r="B167" t="str">
            <v>URUCARÁ</v>
          </cell>
          <cell r="C167">
            <v>130430</v>
          </cell>
          <cell r="D167" t="str">
            <v>SWWK130430</v>
          </cell>
        </row>
        <row r="168">
          <cell r="A168" t="str">
            <v>N275</v>
          </cell>
          <cell r="B168" t="str">
            <v>AEROPORTO DE ESTUDO</v>
          </cell>
          <cell r="C168">
            <v>270450</v>
          </cell>
          <cell r="D168" t="str">
            <v>N275270450</v>
          </cell>
        </row>
        <row r="169">
          <cell r="A169" t="str">
            <v>N707</v>
          </cell>
          <cell r="B169" t="str">
            <v>AEROPORTO DE ESTUDO</v>
          </cell>
          <cell r="C169">
            <v>171270</v>
          </cell>
          <cell r="D169" t="str">
            <v>N707171270</v>
          </cell>
        </row>
        <row r="170">
          <cell r="A170" t="str">
            <v>SDXF</v>
          </cell>
          <cell r="B170" t="str">
            <v>ALTO PARAÍSO DE GOIÁS</v>
          </cell>
          <cell r="C170">
            <v>520060</v>
          </cell>
          <cell r="D170" t="str">
            <v>SDXF520060</v>
          </cell>
        </row>
        <row r="171">
          <cell r="A171" t="str">
            <v>SBST</v>
          </cell>
          <cell r="B171" t="str">
            <v>SANTOS</v>
          </cell>
          <cell r="C171">
            <v>351870</v>
          </cell>
          <cell r="D171" t="str">
            <v>SBST351870</v>
          </cell>
        </row>
        <row r="172">
          <cell r="A172" t="str">
            <v>SDAG</v>
          </cell>
          <cell r="B172" t="str">
            <v>ANGRA DOS REIS</v>
          </cell>
          <cell r="C172">
            <v>330010</v>
          </cell>
          <cell r="D172" t="str">
            <v>SDAG330010</v>
          </cell>
        </row>
        <row r="173">
          <cell r="A173" t="str">
            <v>SDUB</v>
          </cell>
          <cell r="B173" t="str">
            <v>ESTADUAL GASTÃO MADEIRA</v>
          </cell>
          <cell r="C173">
            <v>355540</v>
          </cell>
          <cell r="D173" t="str">
            <v>SDUB355540</v>
          </cell>
        </row>
        <row r="174">
          <cell r="A174" t="str">
            <v>SNOS</v>
          </cell>
          <cell r="B174" t="str">
            <v>MUNICIPAL JOSÉ FIGUEIREDO</v>
          </cell>
          <cell r="C174">
            <v>314790</v>
          </cell>
          <cell r="D174" t="str">
            <v>SNOS314790</v>
          </cell>
        </row>
        <row r="175">
          <cell r="A175" t="str">
            <v>SNSM</v>
          </cell>
          <cell r="B175" t="str">
            <v>SALINÓPOLIS</v>
          </cell>
          <cell r="C175">
            <v>150620</v>
          </cell>
          <cell r="D175" t="str">
            <v>SNSM150620</v>
          </cell>
        </row>
        <row r="176">
          <cell r="A176" t="str">
            <v>SSRS</v>
          </cell>
          <cell r="B176" t="str">
            <v>BARREIRINHAS</v>
          </cell>
          <cell r="C176">
            <v>210170</v>
          </cell>
          <cell r="D176" t="str">
            <v>SSRS210170</v>
          </cell>
        </row>
        <row r="177">
          <cell r="A177" t="str">
            <v>N920</v>
          </cell>
          <cell r="B177" t="str">
            <v>AEROPORTO DE ESTUDO</v>
          </cell>
          <cell r="C177">
            <v>290860</v>
          </cell>
          <cell r="D177" t="str">
            <v>N920290860</v>
          </cell>
        </row>
        <row r="178">
          <cell r="A178" t="str">
            <v>SBBH</v>
          </cell>
          <cell r="B178" t="str">
            <v>PAMPULHA - CARLOS DRUMMOND DE ANDRADE</v>
          </cell>
          <cell r="C178">
            <v>310620</v>
          </cell>
          <cell r="D178" t="str">
            <v>SBBH310620</v>
          </cell>
        </row>
        <row r="179">
          <cell r="A179" t="str">
            <v>SBBI</v>
          </cell>
          <cell r="B179" t="str">
            <v>BACACHERI</v>
          </cell>
          <cell r="C179">
            <v>410690</v>
          </cell>
          <cell r="D179" t="str">
            <v>SBBI410690</v>
          </cell>
        </row>
        <row r="180">
          <cell r="A180" t="str">
            <v>SBBP</v>
          </cell>
          <cell r="B180" t="str">
            <v>ESTADUAL ARTHUR SIQUEIRA</v>
          </cell>
          <cell r="C180">
            <v>350760</v>
          </cell>
          <cell r="D180" t="str">
            <v>SBBP350760</v>
          </cell>
        </row>
        <row r="181">
          <cell r="A181" t="str">
            <v>SBEK</v>
          </cell>
          <cell r="B181" t="str">
            <v>JACAREACANGA</v>
          </cell>
          <cell r="C181">
            <v>150375</v>
          </cell>
          <cell r="D181" t="str">
            <v>SBEK150375</v>
          </cell>
        </row>
        <row r="182">
          <cell r="A182" t="str">
            <v>SBJD</v>
          </cell>
          <cell r="B182" t="str">
            <v>COMANDANTE ROLIM ADOLFO AMARO</v>
          </cell>
          <cell r="C182">
            <v>352590</v>
          </cell>
          <cell r="D182" t="str">
            <v>SBJD352590</v>
          </cell>
        </row>
        <row r="183">
          <cell r="A183" t="str">
            <v>SBJH</v>
          </cell>
          <cell r="B183" t="str">
            <v>SÃO PAULO CATARINA AEROPORTO EXECUTIVO</v>
          </cell>
          <cell r="C183">
            <v>355060</v>
          </cell>
          <cell r="D183" t="str">
            <v>SBJH355060</v>
          </cell>
        </row>
        <row r="184">
          <cell r="A184" t="str">
            <v>SBMI</v>
          </cell>
          <cell r="B184" t="str">
            <v>MARICÁ</v>
          </cell>
          <cell r="C184">
            <v>330270</v>
          </cell>
          <cell r="D184" t="str">
            <v>SDMC330270</v>
          </cell>
        </row>
        <row r="185">
          <cell r="A185" t="str">
            <v>SBNV</v>
          </cell>
          <cell r="B185" t="str">
            <v>AERÓDROMO NACIONAL DE AVIAÇÃO</v>
          </cell>
          <cell r="C185">
            <v>520870</v>
          </cell>
          <cell r="D185" t="str">
            <v>SWNV520870</v>
          </cell>
        </row>
        <row r="186">
          <cell r="A186" t="str">
            <v>SD8C</v>
          </cell>
          <cell r="B186" t="str">
            <v>GOVERNADOR JOSÉ B. LINDOSO</v>
          </cell>
          <cell r="C186">
            <v>130180</v>
          </cell>
          <cell r="D186" t="str">
            <v>SD8C130180</v>
          </cell>
        </row>
        <row r="187">
          <cell r="A187" t="str">
            <v>SDAI</v>
          </cell>
          <cell r="B187" t="str">
            <v>AMERICANA</v>
          </cell>
          <cell r="C187">
            <v>350160</v>
          </cell>
          <cell r="D187" t="str">
            <v>SDAI350160</v>
          </cell>
        </row>
        <row r="188">
          <cell r="A188" t="str">
            <v>SDAM</v>
          </cell>
          <cell r="B188" t="str">
            <v>ESTADUAL DE CAMPOS DOS AMARAIS - PREFEITO FRANCISCO AMARAL</v>
          </cell>
          <cell r="C188">
            <v>350950</v>
          </cell>
          <cell r="D188" t="str">
            <v>SDAM350950</v>
          </cell>
        </row>
        <row r="189">
          <cell r="A189" t="str">
            <v>SDC8</v>
          </cell>
          <cell r="B189" t="str">
            <v>JAPURÁ</v>
          </cell>
          <cell r="C189">
            <v>130210</v>
          </cell>
          <cell r="D189" t="str">
            <v>SWJP130210</v>
          </cell>
        </row>
        <row r="190">
          <cell r="A190" t="str">
            <v>SDCG</v>
          </cell>
          <cell r="B190" t="str">
            <v>SENADORA EUNICE MICHILES</v>
          </cell>
          <cell r="C190">
            <v>130390</v>
          </cell>
          <cell r="D190" t="str">
            <v>SDCG130390</v>
          </cell>
        </row>
        <row r="191">
          <cell r="A191" t="str">
            <v>SDCO</v>
          </cell>
          <cell r="B191" t="str">
            <v>SOROCABA</v>
          </cell>
          <cell r="C191">
            <v>355220</v>
          </cell>
          <cell r="D191" t="str">
            <v>SDCO355220</v>
          </cell>
        </row>
        <row r="192">
          <cell r="A192" t="str">
            <v>SDFD</v>
          </cell>
          <cell r="B192" t="str">
            <v>CORONEL AVIADOR CARLOS ORLEANS GUIMARÃES</v>
          </cell>
          <cell r="C192">
            <v>351550</v>
          </cell>
          <cell r="D192" t="str">
            <v>SDFD351550</v>
          </cell>
        </row>
        <row r="193">
          <cell r="A193" t="str">
            <v>SDH2</v>
          </cell>
          <cell r="B193" t="str">
            <v>PORTO ALEGRE DO NORTE</v>
          </cell>
          <cell r="C193">
            <v>510677</v>
          </cell>
          <cell r="D193" t="str">
            <v>SDH2510677</v>
          </cell>
        </row>
        <row r="194">
          <cell r="A194" t="str">
            <v>SDIG</v>
          </cell>
          <cell r="B194" t="str">
            <v>IBITINGA</v>
          </cell>
          <cell r="C194">
            <v>351960</v>
          </cell>
          <cell r="D194" t="str">
            <v>SDIG351960</v>
          </cell>
        </row>
        <row r="195">
          <cell r="A195" t="str">
            <v>SDJO</v>
          </cell>
          <cell r="B195" t="str">
            <v>SÃO JOAQUIM DA BARRA</v>
          </cell>
          <cell r="C195">
            <v>354940</v>
          </cell>
          <cell r="D195" t="str">
            <v>SDJO354940</v>
          </cell>
        </row>
        <row r="196">
          <cell r="A196" t="str">
            <v>SDLR</v>
          </cell>
          <cell r="B196" t="str">
            <v>LUIZ RIBEIRO MAIA</v>
          </cell>
          <cell r="C196">
            <v>130410</v>
          </cell>
          <cell r="D196" t="str">
            <v>SDLR130410</v>
          </cell>
        </row>
        <row r="197">
          <cell r="A197" t="str">
            <v>SDMJ</v>
          </cell>
          <cell r="B197" t="str">
            <v>MOGI MIRIM</v>
          </cell>
          <cell r="C197">
            <v>353080</v>
          </cell>
          <cell r="D197" t="str">
            <v>SDMJ353080</v>
          </cell>
        </row>
        <row r="198">
          <cell r="A198" t="str">
            <v>SDP8</v>
          </cell>
          <cell r="B198" t="str">
            <v>MARECHAL THAUMATURGO</v>
          </cell>
          <cell r="C198">
            <v>120035</v>
          </cell>
          <cell r="D198" t="str">
            <v>SSMH120035</v>
          </cell>
        </row>
        <row r="199">
          <cell r="A199" t="str">
            <v>SDPW</v>
          </cell>
          <cell r="B199" t="str">
            <v>PEDRO MORGANTI</v>
          </cell>
          <cell r="C199">
            <v>353870</v>
          </cell>
          <cell r="D199" t="str">
            <v>SDPW353870</v>
          </cell>
        </row>
        <row r="200">
          <cell r="A200" t="str">
            <v>SDTB</v>
          </cell>
          <cell r="B200" t="str">
            <v>ATIBAIA</v>
          </cell>
          <cell r="C200">
            <v>350410</v>
          </cell>
          <cell r="D200" t="str">
            <v>SDTB350410</v>
          </cell>
        </row>
        <row r="201">
          <cell r="A201" t="str">
            <v>SDVG</v>
          </cell>
          <cell r="B201" t="str">
            <v>DOMINGOS PIGNATARI</v>
          </cell>
          <cell r="C201">
            <v>355710</v>
          </cell>
          <cell r="D201" t="str">
            <v>SDVG355710</v>
          </cell>
        </row>
        <row r="202">
          <cell r="A202" t="str">
            <v>SJNP</v>
          </cell>
          <cell r="B202" t="str">
            <v>NOVO PROGRESSO</v>
          </cell>
          <cell r="C202">
            <v>150503</v>
          </cell>
          <cell r="D202" t="str">
            <v>SJNP150503</v>
          </cell>
        </row>
        <row r="203">
          <cell r="A203" t="str">
            <v>SJOD</v>
          </cell>
          <cell r="B203" t="str">
            <v>JORDÃO</v>
          </cell>
          <cell r="C203">
            <v>120032</v>
          </cell>
          <cell r="D203" t="str">
            <v>SJOD120032</v>
          </cell>
        </row>
        <row r="204">
          <cell r="A204" t="str">
            <v>SNAB</v>
          </cell>
          <cell r="B204" t="str">
            <v>ARARIPINA</v>
          </cell>
          <cell r="C204">
            <v>260110</v>
          </cell>
          <cell r="D204" t="str">
            <v>SNAB260110</v>
          </cell>
        </row>
        <row r="205">
          <cell r="A205" t="str">
            <v>SNAG</v>
          </cell>
          <cell r="B205" t="str">
            <v>ARAGUARI</v>
          </cell>
          <cell r="C205">
            <v>310350</v>
          </cell>
          <cell r="D205" t="str">
            <v>SNAG310350</v>
          </cell>
        </row>
        <row r="206">
          <cell r="A206" t="str">
            <v>SNBC</v>
          </cell>
          <cell r="B206" t="str">
            <v>BARRA DO CORDA</v>
          </cell>
          <cell r="C206">
            <v>210160</v>
          </cell>
          <cell r="D206" t="str">
            <v>SNBC210160</v>
          </cell>
        </row>
        <row r="207">
          <cell r="A207" t="str">
            <v>SNBI</v>
          </cell>
          <cell r="B207" t="str">
            <v>BACABAL</v>
          </cell>
          <cell r="C207">
            <v>210120</v>
          </cell>
          <cell r="D207" t="str">
            <v>SNBI210120</v>
          </cell>
        </row>
        <row r="208">
          <cell r="A208" t="str">
            <v>SNBS</v>
          </cell>
          <cell r="B208" t="str">
            <v>BALSAS</v>
          </cell>
          <cell r="C208">
            <v>210140</v>
          </cell>
          <cell r="D208" t="str">
            <v>SNBS210140</v>
          </cell>
        </row>
        <row r="209">
          <cell r="A209" t="str">
            <v>SNGA</v>
          </cell>
          <cell r="B209" t="str">
            <v>GUARAPARI</v>
          </cell>
          <cell r="C209">
            <v>320240</v>
          </cell>
          <cell r="D209" t="str">
            <v>SNGA320240</v>
          </cell>
        </row>
        <row r="210">
          <cell r="A210" t="str">
            <v>SNGG</v>
          </cell>
          <cell r="B210" t="str">
            <v>BOM JESUS DO GURGUÉIA</v>
          </cell>
          <cell r="C210">
            <v>220190</v>
          </cell>
          <cell r="D210" t="str">
            <v>SNGG220190</v>
          </cell>
        </row>
        <row r="211">
          <cell r="A211" t="str">
            <v>SNGN</v>
          </cell>
          <cell r="B211" t="str">
            <v>GARANHUNS</v>
          </cell>
          <cell r="C211">
            <v>260600</v>
          </cell>
          <cell r="D211" t="str">
            <v>SNGN260600</v>
          </cell>
        </row>
        <row r="212">
          <cell r="A212" t="str">
            <v>SNMZ</v>
          </cell>
          <cell r="B212" t="str">
            <v>PORTO DE MOZ</v>
          </cell>
          <cell r="C212">
            <v>150590</v>
          </cell>
          <cell r="D212" t="str">
            <v>SNMZ150590</v>
          </cell>
        </row>
        <row r="213">
          <cell r="A213" t="str">
            <v>SNOX</v>
          </cell>
          <cell r="B213" t="str">
            <v>ORIXIMINÁ</v>
          </cell>
          <cell r="C213">
            <v>150530</v>
          </cell>
          <cell r="D213" t="str">
            <v>SNOX150530</v>
          </cell>
        </row>
        <row r="214">
          <cell r="A214" t="str">
            <v>SNPA</v>
          </cell>
          <cell r="B214" t="str">
            <v>PARÁ DE MINAS</v>
          </cell>
          <cell r="C214">
            <v>314710</v>
          </cell>
          <cell r="D214" t="str">
            <v>SNPA314710</v>
          </cell>
        </row>
        <row r="215">
          <cell r="A215" t="str">
            <v>SNPD</v>
          </cell>
          <cell r="B215" t="str">
            <v>PATOS DE MINAS</v>
          </cell>
          <cell r="C215">
            <v>314800</v>
          </cell>
          <cell r="D215" t="str">
            <v>SNPD314800</v>
          </cell>
        </row>
        <row r="216">
          <cell r="A216" t="str">
            <v>SNRH</v>
          </cell>
          <cell r="B216" t="str">
            <v>JOÃO FONSECA</v>
          </cell>
          <cell r="C216">
            <v>130150</v>
          </cell>
          <cell r="D216" t="str">
            <v>SNRH130150</v>
          </cell>
        </row>
        <row r="217">
          <cell r="A217" t="str">
            <v>SNTO</v>
          </cell>
          <cell r="B217" t="str">
            <v>JUSCELINO KUBITSCHECK</v>
          </cell>
          <cell r="C217">
            <v>316860</v>
          </cell>
          <cell r="D217" t="str">
            <v>SNTO316860</v>
          </cell>
        </row>
        <row r="218">
          <cell r="A218" t="str">
            <v>SNXQ</v>
          </cell>
          <cell r="B218" t="str">
            <v>XIQUE-XIQUE</v>
          </cell>
          <cell r="C218">
            <v>293360</v>
          </cell>
          <cell r="D218" t="str">
            <v>SNXQ293360</v>
          </cell>
        </row>
        <row r="219">
          <cell r="A219" t="str">
            <v>SNYA</v>
          </cell>
          <cell r="B219" t="str">
            <v>AERÓDROMO PÚBLICO DE ALMEIRIM</v>
          </cell>
          <cell r="C219">
            <v>150050</v>
          </cell>
          <cell r="D219" t="str">
            <v>SNYA150050</v>
          </cell>
        </row>
        <row r="220">
          <cell r="A220" t="str">
            <v>SSBL</v>
          </cell>
          <cell r="B220" t="str">
            <v>BLUMENAU</v>
          </cell>
          <cell r="C220">
            <v>420240</v>
          </cell>
          <cell r="D220" t="str">
            <v>SSBL420240</v>
          </cell>
        </row>
        <row r="221">
          <cell r="A221" t="str">
            <v>SSBN</v>
          </cell>
          <cell r="B221" t="str">
            <v>BELÉM NOVO</v>
          </cell>
          <cell r="C221">
            <v>431490</v>
          </cell>
          <cell r="D221" t="str">
            <v>SSBN431490</v>
          </cell>
        </row>
        <row r="222">
          <cell r="A222" t="str">
            <v>SSCN</v>
          </cell>
          <cell r="B222" t="str">
            <v>CANELA</v>
          </cell>
          <cell r="C222">
            <v>430440</v>
          </cell>
          <cell r="D222" t="str">
            <v>SSCN430440</v>
          </cell>
        </row>
        <row r="223">
          <cell r="A223" t="str">
            <v>SSGB</v>
          </cell>
          <cell r="B223" t="str">
            <v>MUNICIPAL DE GUARATUBA</v>
          </cell>
          <cell r="C223">
            <v>410960</v>
          </cell>
          <cell r="D223" t="str">
            <v>SSGB410960</v>
          </cell>
        </row>
        <row r="224">
          <cell r="A224" t="str">
            <v>SSGY</v>
          </cell>
          <cell r="B224" t="str">
            <v>GUAÍRA</v>
          </cell>
          <cell r="C224">
            <v>410880</v>
          </cell>
          <cell r="D224" t="str">
            <v>SSGY410880</v>
          </cell>
        </row>
        <row r="225">
          <cell r="A225" t="str">
            <v>SSIE</v>
          </cell>
          <cell r="B225" t="str">
            <v>TERUEL IPANEMA ESTÂNCIA</v>
          </cell>
          <cell r="C225">
            <v>500270</v>
          </cell>
          <cell r="D225" t="str">
            <v>SSIE500270</v>
          </cell>
        </row>
        <row r="226">
          <cell r="A226" t="str">
            <v>SSKG</v>
          </cell>
          <cell r="B226" t="str">
            <v>ESTÂNCIA SANTA MARIA</v>
          </cell>
          <cell r="C226">
            <v>500270</v>
          </cell>
          <cell r="D226" t="str">
            <v>SSKG500270</v>
          </cell>
        </row>
        <row r="227">
          <cell r="A227" t="str">
            <v>SSLT</v>
          </cell>
          <cell r="B227" t="str">
            <v>GAUDÊNCIO MACHADO RAMOS</v>
          </cell>
          <cell r="C227">
            <v>430040</v>
          </cell>
          <cell r="D227" t="str">
            <v>SSLT430040</v>
          </cell>
        </row>
        <row r="228">
          <cell r="A228" t="str">
            <v>SSNG</v>
          </cell>
          <cell r="B228" t="str">
            <v>HELIO ALVES DE OLIVEIRA</v>
          </cell>
          <cell r="C228">
            <v>431240</v>
          </cell>
          <cell r="D228" t="str">
            <v>SSNG431240</v>
          </cell>
        </row>
        <row r="229">
          <cell r="A229" t="str">
            <v>SSNH</v>
          </cell>
          <cell r="B229" t="str">
            <v>NOVO HAMBURGO</v>
          </cell>
          <cell r="C229">
            <v>431340</v>
          </cell>
          <cell r="D229" t="str">
            <v>SSNH431340</v>
          </cell>
        </row>
        <row r="230">
          <cell r="A230" t="str">
            <v>SSRA</v>
          </cell>
          <cell r="B230" t="str">
            <v>SANTA ROSA DO PURUS</v>
          </cell>
          <cell r="C230">
            <v>120043</v>
          </cell>
          <cell r="D230" t="str">
            <v>SSRA120043</v>
          </cell>
        </row>
        <row r="231">
          <cell r="A231" t="str">
            <v>SSSC</v>
          </cell>
          <cell r="B231" t="str">
            <v>SANTA CRUZ DO SUL</v>
          </cell>
          <cell r="C231">
            <v>431680</v>
          </cell>
          <cell r="D231" t="str">
            <v>SSSC431680</v>
          </cell>
        </row>
        <row r="232">
          <cell r="A232" t="str">
            <v>SSSM</v>
          </cell>
          <cell r="B232" t="str">
            <v>MATHEUS LOPES MAIA DA SILVA</v>
          </cell>
          <cell r="C232">
            <v>130195</v>
          </cell>
          <cell r="D232" t="str">
            <v>SSSM130195</v>
          </cell>
        </row>
        <row r="233">
          <cell r="A233" t="str">
            <v>SSTE</v>
          </cell>
          <cell r="B233" t="str">
            <v>TORRES</v>
          </cell>
          <cell r="C233">
            <v>432150</v>
          </cell>
          <cell r="D233" t="str">
            <v>SBTR432150</v>
          </cell>
        </row>
        <row r="234">
          <cell r="A234" t="str">
            <v>SSUM</v>
          </cell>
          <cell r="B234" t="str">
            <v>ORLANDO DE CARVALHO</v>
          </cell>
          <cell r="C234">
            <v>412810</v>
          </cell>
          <cell r="D234" t="str">
            <v>SSUM412810</v>
          </cell>
        </row>
        <row r="235">
          <cell r="A235" t="str">
            <v>SSUV</v>
          </cell>
          <cell r="B235" t="str">
            <v>JOSÉ CLETO</v>
          </cell>
          <cell r="C235">
            <v>412820</v>
          </cell>
          <cell r="D235" t="str">
            <v>SSUV412820</v>
          </cell>
        </row>
        <row r="236">
          <cell r="A236" t="str">
            <v>SSVL</v>
          </cell>
          <cell r="B236" t="str">
            <v>TELÊMACO BORBA</v>
          </cell>
          <cell r="C236">
            <v>412710</v>
          </cell>
          <cell r="D236" t="str">
            <v>SSVL412710</v>
          </cell>
        </row>
        <row r="237">
          <cell r="A237" t="str">
            <v>SSZR</v>
          </cell>
          <cell r="B237" t="str">
            <v>LUIS ALBERTO LEHR</v>
          </cell>
          <cell r="C237">
            <v>431720</v>
          </cell>
          <cell r="D237" t="str">
            <v>SSZR431720</v>
          </cell>
        </row>
        <row r="238">
          <cell r="A238" t="str">
            <v>SWCQ</v>
          </cell>
          <cell r="B238" t="str">
            <v>COSTA MARQUES</v>
          </cell>
          <cell r="C238">
            <v>110008</v>
          </cell>
          <cell r="D238" t="str">
            <v>SWCQ110008</v>
          </cell>
        </row>
        <row r="239">
          <cell r="A239" t="str">
            <v>SWFN</v>
          </cell>
          <cell r="B239" t="str">
            <v>FLORES</v>
          </cell>
          <cell r="C239">
            <v>130260</v>
          </cell>
          <cell r="D239" t="str">
            <v>SWFN130260</v>
          </cell>
        </row>
        <row r="240">
          <cell r="A240" t="str">
            <v>SWFR</v>
          </cell>
          <cell r="B240" t="str">
            <v>FORMOSA</v>
          </cell>
          <cell r="C240">
            <v>520800</v>
          </cell>
          <cell r="D240" t="str">
            <v>SWFR520800</v>
          </cell>
        </row>
        <row r="241">
          <cell r="A241" t="str">
            <v>SWIA</v>
          </cell>
          <cell r="B241" t="str">
            <v>ANTÔNIO COSTA DA SILVA</v>
          </cell>
          <cell r="C241">
            <v>520990</v>
          </cell>
          <cell r="D241" t="str">
            <v>N686130220</v>
          </cell>
        </row>
        <row r="242">
          <cell r="A242" t="str">
            <v>SWII</v>
          </cell>
          <cell r="B242" t="str">
            <v>IPIRANGA</v>
          </cell>
          <cell r="C242">
            <v>130370</v>
          </cell>
          <cell r="D242" t="str">
            <v>SWII130370</v>
          </cell>
        </row>
        <row r="243">
          <cell r="A243" t="str">
            <v>SWNS</v>
          </cell>
          <cell r="B243" t="str">
            <v>ANÁPOLIS</v>
          </cell>
          <cell r="C243">
            <v>520110</v>
          </cell>
          <cell r="D243" t="str">
            <v>SWNS520110</v>
          </cell>
        </row>
        <row r="244">
          <cell r="A244" t="str">
            <v>SWOB</v>
          </cell>
          <cell r="B244" t="str">
            <v>FONTE BOA</v>
          </cell>
          <cell r="C244">
            <v>130160</v>
          </cell>
          <cell r="D244" t="str">
            <v>SWOB130160</v>
          </cell>
        </row>
        <row r="245">
          <cell r="A245" t="str">
            <v>SWPY</v>
          </cell>
          <cell r="B245" t="str">
            <v>PRIMAVERA DO LESTE</v>
          </cell>
          <cell r="C245">
            <v>510704</v>
          </cell>
          <cell r="D245" t="str">
            <v>SWPY510704</v>
          </cell>
        </row>
        <row r="246">
          <cell r="A246" t="str">
            <v>SWTP</v>
          </cell>
          <cell r="B246" t="str">
            <v>SANTA ISABEL DO RIO NEGRO</v>
          </cell>
          <cell r="C246">
            <v>130360</v>
          </cell>
          <cell r="D246" t="str">
            <v>SWTP130360</v>
          </cell>
        </row>
        <row r="247">
          <cell r="A247" t="str">
            <v>SWUZ</v>
          </cell>
          <cell r="B247" t="str">
            <v>BRIGADEIRO ARARIPE MACEDO</v>
          </cell>
          <cell r="C247">
            <v>521250</v>
          </cell>
          <cell r="D247" t="str">
            <v>SWUZ521250</v>
          </cell>
        </row>
        <row r="248">
          <cell r="A248" t="str">
            <v>SWWA</v>
          </cell>
          <cell r="B248" t="str">
            <v>PORANGATU</v>
          </cell>
          <cell r="C248">
            <v>521800</v>
          </cell>
          <cell r="D248" t="str">
            <v>SWWA521800</v>
          </cell>
        </row>
        <row r="249">
          <cell r="A249" t="str">
            <v>SWYN</v>
          </cell>
          <cell r="B249" t="str">
            <v>APUÍ</v>
          </cell>
          <cell r="C249">
            <v>130014</v>
          </cell>
          <cell r="D249" t="str">
            <v>SWYN130014</v>
          </cell>
        </row>
        <row r="250">
          <cell r="B250"/>
          <cell r="C250"/>
          <cell r="D250"/>
        </row>
        <row r="251">
          <cell r="B251"/>
          <cell r="C251"/>
          <cell r="D251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 22"/>
      <sheetName val="FLUXO DE CAIXA DESC.-BLOCOS PAN"/>
      <sheetName val="FLUXO DE CAIXA - BLOCOS PAN"/>
      <sheetName val="CAPEX - BLOCOS PAN"/>
      <sheetName val="CAPEX - BLOCOS PAN S_MULTIP."/>
      <sheetName val="CAPEX - BLOCOS PAN (ANO A ANO)"/>
      <sheetName val="CAPEX - BLOCOS PAN P_ANO S_MULT"/>
      <sheetName val="OPEX - BLOCOS PAN"/>
      <sheetName val="RECEITAS - BLOCOS PAN"/>
      <sheetName val="BASE PAN - CAPEX"/>
      <sheetName val="BASE PAN - OPEX"/>
      <sheetName val="BASE PAN - RECEITAS"/>
      <sheetName val="BASE PAN - CAPEX - 1º ANO"/>
      <sheetName val="CAPEX Manut. Estr_PPD e Taxiway"/>
      <sheetName val="CAPEX Manut. Estratégicos_Pátio"/>
      <sheetName val="CAPEX Manut. Estr_Naveg. Aérea"/>
      <sheetName val="CAPEX Manut. Estr_Cerca Operac."/>
      <sheetName val="Receitas - Aerop. Estratégicos"/>
      <sheetName val="Projeção - Demanda PAX"/>
    </sheetNames>
    <sheetDataSet>
      <sheetData sheetId="0"/>
      <sheetData sheetId="1"/>
      <sheetData sheetId="2"/>
      <sheetData sheetId="3">
        <row r="3">
          <cell r="C3" t="str">
            <v>N603420455</v>
          </cell>
          <cell r="D3" t="str">
            <v>CORREIA PINTO</v>
          </cell>
          <cell r="E3" t="str">
            <v>SC</v>
          </cell>
          <cell r="F3" t="str">
            <v>ü</v>
          </cell>
          <cell r="G3" t="str">
            <v>Adequação</v>
          </cell>
          <cell r="H3">
            <v>36657833.333333336</v>
          </cell>
          <cell r="I3">
            <v>36657833.333333336</v>
          </cell>
          <cell r="J3">
            <v>36657833.333333336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109973500</v>
          </cell>
          <cell r="AN3" t="str">
            <v>S e SE</v>
          </cell>
        </row>
        <row r="4">
          <cell r="C4" t="str">
            <v>N518130030</v>
          </cell>
          <cell r="D4" t="str">
            <v>AUTAZES</v>
          </cell>
          <cell r="E4" t="str">
            <v>AM</v>
          </cell>
          <cell r="F4" t="str">
            <v>ü</v>
          </cell>
          <cell r="G4" t="str">
            <v>Adequação</v>
          </cell>
          <cell r="H4">
            <v>22486375.346666664</v>
          </cell>
          <cell r="I4">
            <v>22486375.346666664</v>
          </cell>
          <cell r="J4">
            <v>22486375.346666664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67459126.039999992</v>
          </cell>
          <cell r="AN4" t="str">
            <v>-</v>
          </cell>
        </row>
        <row r="5">
          <cell r="C5" t="str">
            <v>N861160070</v>
          </cell>
          <cell r="D5" t="str">
            <v>TARTARUGALZINHO</v>
          </cell>
          <cell r="E5" t="str">
            <v>AP</v>
          </cell>
          <cell r="F5" t="str">
            <v>ü</v>
          </cell>
          <cell r="G5" t="str">
            <v>Adequação</v>
          </cell>
          <cell r="H5">
            <v>34486838.089333333</v>
          </cell>
          <cell r="I5">
            <v>34486838.089333333</v>
          </cell>
          <cell r="J5">
            <v>34486838.089333333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103460514.26800001</v>
          </cell>
          <cell r="AN5" t="str">
            <v>N</v>
          </cell>
        </row>
        <row r="6">
          <cell r="C6" t="str">
            <v>SBAE350340</v>
          </cell>
          <cell r="D6" t="str">
            <v>AREALVA</v>
          </cell>
          <cell r="E6" t="str">
            <v>SP</v>
          </cell>
          <cell r="F6" t="str">
            <v>ü</v>
          </cell>
          <cell r="G6" t="str">
            <v>Adequação</v>
          </cell>
          <cell r="H6">
            <v>18156666.666666668</v>
          </cell>
          <cell r="I6">
            <v>18156666.666666668</v>
          </cell>
          <cell r="J6">
            <v>18156666.666666668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54470000</v>
          </cell>
          <cell r="AN6" t="str">
            <v>-</v>
          </cell>
        </row>
        <row r="7">
          <cell r="C7" t="str">
            <v>N218352230</v>
          </cell>
          <cell r="D7" t="str">
            <v>ITAPETININGA</v>
          </cell>
          <cell r="E7" t="str">
            <v>SP</v>
          </cell>
          <cell r="F7" t="str">
            <v>ü</v>
          </cell>
          <cell r="G7" t="str">
            <v>Adequação</v>
          </cell>
          <cell r="H7">
            <v>118890002.35666665</v>
          </cell>
          <cell r="I7">
            <v>118890002.35666665</v>
          </cell>
          <cell r="J7">
            <v>118890002.35666665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356670007.06999993</v>
          </cell>
          <cell r="AN7" t="str">
            <v>S e SE</v>
          </cell>
        </row>
        <row r="8">
          <cell r="C8" t="str">
            <v>N774150580</v>
          </cell>
          <cell r="D8" t="str">
            <v>PORTEL</v>
          </cell>
          <cell r="E8" t="str">
            <v>PA</v>
          </cell>
          <cell r="F8" t="str">
            <v>ü</v>
          </cell>
          <cell r="G8" t="str">
            <v>Adequação</v>
          </cell>
          <cell r="H8">
            <v>122568102.91333333</v>
          </cell>
          <cell r="I8">
            <v>122568102.91333333</v>
          </cell>
          <cell r="J8">
            <v>122568102.91333333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367704308.74000001</v>
          </cell>
          <cell r="AN8" t="str">
            <v>N</v>
          </cell>
        </row>
        <row r="9">
          <cell r="C9" t="str">
            <v>N798140047</v>
          </cell>
          <cell r="D9" t="str">
            <v>RORAINÓPOLIS</v>
          </cell>
          <cell r="E9" t="str">
            <v>RR</v>
          </cell>
          <cell r="F9" t="str">
            <v>ü</v>
          </cell>
          <cell r="G9" t="str">
            <v>Adequação</v>
          </cell>
          <cell r="H9">
            <v>37561004.755999997</v>
          </cell>
          <cell r="I9">
            <v>37561004.755999997</v>
          </cell>
          <cell r="J9">
            <v>37561004.755999997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112683014.26799999</v>
          </cell>
          <cell r="AN9" t="str">
            <v>N</v>
          </cell>
        </row>
        <row r="10">
          <cell r="C10" t="str">
            <v>SBAR280030</v>
          </cell>
          <cell r="D10" t="str">
            <v>ARACAJU</v>
          </cell>
          <cell r="E10" t="str">
            <v>SE</v>
          </cell>
          <cell r="F10" t="str">
            <v>ü</v>
          </cell>
          <cell r="G10" t="str">
            <v>Adequação</v>
          </cell>
          <cell r="H10">
            <v>127570000</v>
          </cell>
          <cell r="I10">
            <v>127570000</v>
          </cell>
          <cell r="J10">
            <v>127570000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382710000</v>
          </cell>
          <cell r="AN10" t="str">
            <v>-</v>
          </cell>
        </row>
        <row r="11">
          <cell r="C11" t="str">
            <v>SBCA410480</v>
          </cell>
          <cell r="D11" t="str">
            <v>CASCAVEL</v>
          </cell>
          <cell r="E11" t="str">
            <v>PR</v>
          </cell>
          <cell r="F11" t="str">
            <v>ü</v>
          </cell>
          <cell r="G11" t="str">
            <v>Adequação</v>
          </cell>
          <cell r="H11">
            <v>25328333.333333332</v>
          </cell>
          <cell r="I11">
            <v>25328333.333333332</v>
          </cell>
          <cell r="J11">
            <v>25328333.333333332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75985000</v>
          </cell>
          <cell r="AN11" t="str">
            <v>S e SE</v>
          </cell>
        </row>
        <row r="12">
          <cell r="C12" t="str">
            <v>SBCN520450</v>
          </cell>
          <cell r="D12" t="str">
            <v>CALDAS NOVAS</v>
          </cell>
          <cell r="E12" t="str">
            <v>GO</v>
          </cell>
          <cell r="F12" t="str">
            <v>ü</v>
          </cell>
          <cell r="G12" t="str">
            <v>Adequação</v>
          </cell>
          <cell r="H12">
            <v>31258333.333333332</v>
          </cell>
          <cell r="I12">
            <v>31258333.333333332</v>
          </cell>
          <cell r="J12">
            <v>31258333.333333332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93775000</v>
          </cell>
          <cell r="AN12" t="str">
            <v>-</v>
          </cell>
        </row>
        <row r="13">
          <cell r="C13" t="str">
            <v>SBFL420540</v>
          </cell>
          <cell r="D13" t="str">
            <v>FLORIANÓPOLIS</v>
          </cell>
          <cell r="E13" t="str">
            <v>SC</v>
          </cell>
          <cell r="F13" t="str">
            <v>ü</v>
          </cell>
          <cell r="G13" t="str">
            <v>Adequação</v>
          </cell>
          <cell r="H13">
            <v>202950000</v>
          </cell>
          <cell r="I13">
            <v>202950000</v>
          </cell>
          <cell r="J13">
            <v>202950000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608850000</v>
          </cell>
          <cell r="AN13" t="str">
            <v>-</v>
          </cell>
        </row>
        <row r="14">
          <cell r="C14" t="str">
            <v>SBGR351880</v>
          </cell>
          <cell r="D14" t="str">
            <v>GUARULHOS</v>
          </cell>
          <cell r="E14" t="str">
            <v>SP</v>
          </cell>
          <cell r="F14" t="str">
            <v>ü</v>
          </cell>
          <cell r="G14" t="str">
            <v>Adequação</v>
          </cell>
          <cell r="H14">
            <v>67126666.666666672</v>
          </cell>
          <cell r="I14">
            <v>67126666.666666672</v>
          </cell>
          <cell r="J14">
            <v>67126666.666666672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201380000</v>
          </cell>
          <cell r="AN14" t="str">
            <v>-</v>
          </cell>
        </row>
        <row r="15">
          <cell r="C15" t="str">
            <v>SBGV312770</v>
          </cell>
          <cell r="D15" t="str">
            <v>GOVERNADOR VALADARES</v>
          </cell>
          <cell r="E15" t="str">
            <v>MG</v>
          </cell>
          <cell r="F15" t="str">
            <v>ü</v>
          </cell>
          <cell r="G15" t="str">
            <v>Adequação</v>
          </cell>
          <cell r="H15">
            <v>39385000</v>
          </cell>
          <cell r="I15">
            <v>39385000</v>
          </cell>
          <cell r="J15">
            <v>39385000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118155000</v>
          </cell>
          <cell r="AN15" t="str">
            <v>-</v>
          </cell>
        </row>
        <row r="16">
          <cell r="C16" t="str">
            <v>SBIH150360</v>
          </cell>
          <cell r="D16" t="str">
            <v>ITAITUBA</v>
          </cell>
          <cell r="E16" t="str">
            <v>PA</v>
          </cell>
          <cell r="F16" t="str">
            <v>ü</v>
          </cell>
          <cell r="G16" t="str">
            <v>Adequação</v>
          </cell>
          <cell r="H16">
            <v>45106666.666666664</v>
          </cell>
          <cell r="I16">
            <v>45106666.666666664</v>
          </cell>
          <cell r="J16">
            <v>45106666.666666664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135320000</v>
          </cell>
          <cell r="AN16" t="str">
            <v>N</v>
          </cell>
        </row>
        <row r="17">
          <cell r="C17" t="str">
            <v>SBIZ210530</v>
          </cell>
          <cell r="D17" t="str">
            <v>IMPERATRIZ</v>
          </cell>
          <cell r="E17" t="str">
            <v>MA</v>
          </cell>
          <cell r="F17" t="str">
            <v>ü</v>
          </cell>
          <cell r="G17" t="str">
            <v>Adequação</v>
          </cell>
          <cell r="H17">
            <v>24928333.333333332</v>
          </cell>
          <cell r="I17">
            <v>24928333.333333332</v>
          </cell>
          <cell r="J17">
            <v>24928333.333333332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74785000</v>
          </cell>
          <cell r="AN17" t="str">
            <v>-</v>
          </cell>
        </row>
        <row r="18">
          <cell r="C18" t="str">
            <v>SBJA420880</v>
          </cell>
          <cell r="D18" t="str">
            <v>JAGUARUNA</v>
          </cell>
          <cell r="E18" t="str">
            <v>SC</v>
          </cell>
          <cell r="F18" t="str">
            <v>ü</v>
          </cell>
          <cell r="G18" t="str">
            <v>Adequação</v>
          </cell>
          <cell r="H18">
            <v>26281666.666666668</v>
          </cell>
          <cell r="I18">
            <v>26281666.666666668</v>
          </cell>
          <cell r="J18">
            <v>26281666.666666668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78845000</v>
          </cell>
          <cell r="AN18" t="str">
            <v>-</v>
          </cell>
        </row>
        <row r="19">
          <cell r="C19" t="str">
            <v>SBJU230730</v>
          </cell>
          <cell r="D19" t="str">
            <v>JUAZEIRO DO NORTE</v>
          </cell>
          <cell r="E19" t="str">
            <v>CE</v>
          </cell>
          <cell r="F19" t="str">
            <v>ü</v>
          </cell>
          <cell r="G19" t="str">
            <v>Adequação</v>
          </cell>
          <cell r="H19">
            <v>69830000</v>
          </cell>
          <cell r="I19">
            <v>69830000</v>
          </cell>
          <cell r="J19">
            <v>69830000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209490000</v>
          </cell>
          <cell r="AN19" t="str">
            <v>-</v>
          </cell>
        </row>
        <row r="20">
          <cell r="C20" t="str">
            <v>SBLE291930</v>
          </cell>
          <cell r="D20" t="str">
            <v>LENÇÓIS</v>
          </cell>
          <cell r="E20" t="str">
            <v>BA</v>
          </cell>
          <cell r="F20" t="str">
            <v>ü</v>
          </cell>
          <cell r="G20" t="str">
            <v>Adequação</v>
          </cell>
          <cell r="H20">
            <v>28092500</v>
          </cell>
          <cell r="I20">
            <v>28092500</v>
          </cell>
          <cell r="J20">
            <v>28092500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84277500</v>
          </cell>
          <cell r="AN20" t="str">
            <v>NE e CO</v>
          </cell>
        </row>
        <row r="21">
          <cell r="C21" t="str">
            <v>SBMO270770</v>
          </cell>
          <cell r="D21" t="str">
            <v>RIO LARGO</v>
          </cell>
          <cell r="E21" t="str">
            <v>AL</v>
          </cell>
          <cell r="F21" t="str">
            <v>ü</v>
          </cell>
          <cell r="G21" t="str">
            <v>Adequação</v>
          </cell>
          <cell r="H21">
            <v>176120000</v>
          </cell>
          <cell r="I21">
            <v>176120000</v>
          </cell>
          <cell r="J21">
            <v>176120000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528360000</v>
          </cell>
          <cell r="AN21" t="str">
            <v>-</v>
          </cell>
        </row>
        <row r="22">
          <cell r="C22" t="str">
            <v>SBMQ160030</v>
          </cell>
          <cell r="D22" t="str">
            <v>MACAPÁ</v>
          </cell>
          <cell r="E22" t="str">
            <v>AP</v>
          </cell>
          <cell r="F22" t="str">
            <v>ü</v>
          </cell>
          <cell r="G22" t="str">
            <v>Adequação</v>
          </cell>
          <cell r="H22">
            <v>50463333.333333336</v>
          </cell>
          <cell r="I22">
            <v>50463333.333333336</v>
          </cell>
          <cell r="J22">
            <v>50463333.333333336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151390000</v>
          </cell>
          <cell r="AN22" t="str">
            <v>-</v>
          </cell>
        </row>
        <row r="23">
          <cell r="C23" t="str">
            <v>SBSM431690</v>
          </cell>
          <cell r="D23" t="str">
            <v>SANTA MARIA</v>
          </cell>
          <cell r="E23" t="str">
            <v>RS</v>
          </cell>
          <cell r="F23" t="str">
            <v>ü</v>
          </cell>
          <cell r="G23" t="str">
            <v>Adequação</v>
          </cell>
          <cell r="H23">
            <v>35227833.333333336</v>
          </cell>
          <cell r="I23">
            <v>35227833.333333336</v>
          </cell>
          <cell r="J23">
            <v>35227833.333333336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105683500</v>
          </cell>
          <cell r="AN23" t="str">
            <v>S e SE</v>
          </cell>
        </row>
        <row r="24">
          <cell r="C24" t="str">
            <v>SBSV292740</v>
          </cell>
          <cell r="D24" t="str">
            <v>SALVADOR</v>
          </cell>
          <cell r="E24" t="str">
            <v>BA</v>
          </cell>
          <cell r="F24" t="str">
            <v>ü</v>
          </cell>
          <cell r="G24" t="str">
            <v>Adequação</v>
          </cell>
          <cell r="H24">
            <v>217363333.33333334</v>
          </cell>
          <cell r="I24">
            <v>217363333.33333334</v>
          </cell>
          <cell r="J24">
            <v>217363333.33333334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652090000</v>
          </cell>
          <cell r="AN24" t="str">
            <v>-</v>
          </cell>
        </row>
        <row r="25">
          <cell r="C25" t="str">
            <v>SBTD412770</v>
          </cell>
          <cell r="D25" t="str">
            <v>TOLEDO</v>
          </cell>
          <cell r="E25" t="str">
            <v>PR</v>
          </cell>
          <cell r="F25" t="str">
            <v>ü</v>
          </cell>
          <cell r="G25" t="str">
            <v>Adequação</v>
          </cell>
          <cell r="H25">
            <v>22121666.666666668</v>
          </cell>
          <cell r="I25">
            <v>22121666.666666668</v>
          </cell>
          <cell r="J25">
            <v>22121666.666666668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66365000</v>
          </cell>
          <cell r="AN25" t="str">
            <v>-</v>
          </cell>
        </row>
        <row r="26">
          <cell r="C26" t="str">
            <v>SBZM312738</v>
          </cell>
          <cell r="D26" t="str">
            <v>GOIANÁ</v>
          </cell>
          <cell r="E26" t="str">
            <v>MG</v>
          </cell>
          <cell r="F26" t="str">
            <v>ü</v>
          </cell>
          <cell r="G26" t="str">
            <v>Adequação</v>
          </cell>
          <cell r="H26">
            <v>23508333.333333332</v>
          </cell>
          <cell r="I26">
            <v>23508333.333333332</v>
          </cell>
          <cell r="J26">
            <v>23508333.333333332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70525000</v>
          </cell>
          <cell r="AN26" t="str">
            <v>-</v>
          </cell>
        </row>
        <row r="27">
          <cell r="C27" t="str">
            <v>SDRK354390</v>
          </cell>
          <cell r="D27" t="str">
            <v>RIO CLARO</v>
          </cell>
          <cell r="E27" t="str">
            <v>SP</v>
          </cell>
          <cell r="F27" t="str">
            <v>ü</v>
          </cell>
          <cell r="G27" t="str">
            <v>Adequação</v>
          </cell>
          <cell r="H27">
            <v>91453847.966666654</v>
          </cell>
          <cell r="I27">
            <v>91453847.966666654</v>
          </cell>
          <cell r="J27">
            <v>91453847.966666654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274361543.89999998</v>
          </cell>
          <cell r="AN27" t="str">
            <v>-</v>
          </cell>
        </row>
        <row r="28">
          <cell r="C28" t="str">
            <v>SWBC130040</v>
          </cell>
          <cell r="D28" t="str">
            <v>BARCELOS</v>
          </cell>
          <cell r="E28" t="str">
            <v>AM</v>
          </cell>
          <cell r="F28" t="str">
            <v>ü</v>
          </cell>
          <cell r="G28" t="str">
            <v>Adequação</v>
          </cell>
          <cell r="H28">
            <v>21471000</v>
          </cell>
          <cell r="I28">
            <v>21471000</v>
          </cell>
          <cell r="J28">
            <v>21471000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64413000</v>
          </cell>
          <cell r="AN28" t="str">
            <v>N</v>
          </cell>
        </row>
        <row r="29">
          <cell r="C29" t="str">
            <v>SNAT230110</v>
          </cell>
          <cell r="D29" t="str">
            <v>ARACATI</v>
          </cell>
          <cell r="E29" t="str">
            <v>CE</v>
          </cell>
          <cell r="F29" t="str">
            <v>ü</v>
          </cell>
          <cell r="G29" t="str">
            <v>Adequação</v>
          </cell>
          <cell r="H29">
            <v>4803333.333333333</v>
          </cell>
          <cell r="I29">
            <v>4803333.333333333</v>
          </cell>
          <cell r="J29">
            <v>4803333.333333333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14410000</v>
          </cell>
          <cell r="AN29" t="str">
            <v>-</v>
          </cell>
        </row>
        <row r="30">
          <cell r="C30" t="str">
            <v>SBAT510025</v>
          </cell>
          <cell r="D30" t="str">
            <v>ALTA FLORESTA</v>
          </cell>
          <cell r="E30" t="str">
            <v>MT</v>
          </cell>
          <cell r="F30" t="str">
            <v>ü</v>
          </cell>
          <cell r="G30" t="str">
            <v>Adequação</v>
          </cell>
          <cell r="H30">
            <v>16420000</v>
          </cell>
          <cell r="I30">
            <v>16420000</v>
          </cell>
          <cell r="J30">
            <v>16420000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49260000</v>
          </cell>
          <cell r="AN30" t="str">
            <v>-</v>
          </cell>
        </row>
        <row r="31">
          <cell r="C31" t="str">
            <v>SBAU350280</v>
          </cell>
          <cell r="D31" t="str">
            <v>ARAÇATUBA</v>
          </cell>
          <cell r="E31" t="str">
            <v>SP</v>
          </cell>
          <cell r="F31" t="str">
            <v>ü</v>
          </cell>
          <cell r="G31" t="str">
            <v>Adequação</v>
          </cell>
          <cell r="H31">
            <v>25400000</v>
          </cell>
          <cell r="I31">
            <v>25400000</v>
          </cell>
          <cell r="J31">
            <v>25400000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76200000</v>
          </cell>
          <cell r="AN31" t="str">
            <v>-</v>
          </cell>
        </row>
        <row r="32">
          <cell r="C32" t="str">
            <v>SBAX310400</v>
          </cell>
          <cell r="D32" t="str">
            <v>ARAXÁ</v>
          </cell>
          <cell r="E32" t="str">
            <v>MG</v>
          </cell>
          <cell r="F32" t="str">
            <v>ü</v>
          </cell>
          <cell r="G32" t="str">
            <v>Adequação</v>
          </cell>
          <cell r="H32">
            <v>32853333.333333332</v>
          </cell>
          <cell r="I32">
            <v>32853333.333333332</v>
          </cell>
          <cell r="J32">
            <v>32853333.333333332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98560000</v>
          </cell>
          <cell r="AN32" t="str">
            <v>-</v>
          </cell>
        </row>
        <row r="33">
          <cell r="C33" t="str">
            <v>SBBE150140</v>
          </cell>
          <cell r="D33" t="str">
            <v>BELÉM</v>
          </cell>
          <cell r="E33" t="str">
            <v>PA</v>
          </cell>
          <cell r="F33" t="str">
            <v>ü</v>
          </cell>
          <cell r="G33" t="str">
            <v>Adequação</v>
          </cell>
          <cell r="H33">
            <v>200155000</v>
          </cell>
          <cell r="I33">
            <v>200155000</v>
          </cell>
          <cell r="J33">
            <v>200155000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600465000</v>
          </cell>
          <cell r="AN33" t="str">
            <v>-</v>
          </cell>
        </row>
        <row r="34">
          <cell r="C34" t="str">
            <v>SBBG430160</v>
          </cell>
          <cell r="D34" t="str">
            <v>BAGÉ</v>
          </cell>
          <cell r="E34" t="str">
            <v>RS</v>
          </cell>
          <cell r="F34" t="str">
            <v>ü</v>
          </cell>
          <cell r="G34" t="str">
            <v>Adequação</v>
          </cell>
          <cell r="H34">
            <v>5791666.666666667</v>
          </cell>
          <cell r="I34">
            <v>5791666.666666667</v>
          </cell>
          <cell r="J34">
            <v>5791666.666666667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17375000</v>
          </cell>
          <cell r="AN34" t="str">
            <v>-</v>
          </cell>
        </row>
        <row r="35">
          <cell r="C35" t="str">
            <v>SBBR530010</v>
          </cell>
          <cell r="D35" t="str">
            <v>BRASÍLIA</v>
          </cell>
          <cell r="E35" t="str">
            <v>DF</v>
          </cell>
          <cell r="F35" t="str">
            <v>ü</v>
          </cell>
          <cell r="G35" t="str">
            <v>Adequação</v>
          </cell>
          <cell r="H35">
            <v>76293333.333333328</v>
          </cell>
          <cell r="I35">
            <v>76293333.333333328</v>
          </cell>
          <cell r="J35">
            <v>76293333.333333328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228880000</v>
          </cell>
          <cell r="AN35" t="str">
            <v>-</v>
          </cell>
        </row>
        <row r="36">
          <cell r="C36" t="str">
            <v>SBBV140010</v>
          </cell>
          <cell r="D36" t="str">
            <v>BOA VISTA</v>
          </cell>
          <cell r="E36" t="str">
            <v>RR</v>
          </cell>
          <cell r="F36" t="str">
            <v>ü</v>
          </cell>
          <cell r="G36" t="str">
            <v>Adequação</v>
          </cell>
          <cell r="H36">
            <v>60590000</v>
          </cell>
          <cell r="I36">
            <v>60590000</v>
          </cell>
          <cell r="J36">
            <v>60590000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181770000</v>
          </cell>
          <cell r="AN36" t="str">
            <v>-</v>
          </cell>
        </row>
        <row r="37">
          <cell r="C37" t="str">
            <v>SBBW510180</v>
          </cell>
          <cell r="D37" t="str">
            <v>BARRA DO GARÇAS</v>
          </cell>
          <cell r="E37" t="str">
            <v>MT</v>
          </cell>
          <cell r="F37" t="str">
            <v>ü</v>
          </cell>
          <cell r="G37" t="str">
            <v>Adequação</v>
          </cell>
          <cell r="H37">
            <v>5458333.333333333</v>
          </cell>
          <cell r="I37">
            <v>5458333.333333333</v>
          </cell>
          <cell r="J37">
            <v>5458333.333333333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16375000</v>
          </cell>
          <cell r="AN37" t="str">
            <v>-</v>
          </cell>
        </row>
        <row r="38">
          <cell r="C38" t="str">
            <v>SBCB330070</v>
          </cell>
          <cell r="D38" t="str">
            <v>CABO FRIO</v>
          </cell>
          <cell r="E38" t="str">
            <v>RJ</v>
          </cell>
          <cell r="F38" t="str">
            <v>ü</v>
          </cell>
          <cell r="G38" t="str">
            <v>Adequação</v>
          </cell>
          <cell r="H38">
            <v>23870000</v>
          </cell>
          <cell r="I38">
            <v>23870000</v>
          </cell>
          <cell r="J38">
            <v>23870000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71610000</v>
          </cell>
          <cell r="AN38" t="str">
            <v>-</v>
          </cell>
        </row>
        <row r="39">
          <cell r="C39" t="str">
            <v>SBCF311787</v>
          </cell>
          <cell r="D39" t="str">
            <v>CONFINS</v>
          </cell>
          <cell r="E39" t="str">
            <v>MG</v>
          </cell>
          <cell r="F39" t="str">
            <v>ü</v>
          </cell>
          <cell r="G39" t="str">
            <v>Adequação</v>
          </cell>
          <cell r="H39">
            <v>154206666.66666666</v>
          </cell>
          <cell r="I39">
            <v>154206666.66666666</v>
          </cell>
          <cell r="J39">
            <v>154206666.66666666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462620000</v>
          </cell>
          <cell r="AN39" t="str">
            <v>-</v>
          </cell>
        </row>
        <row r="40">
          <cell r="C40" t="str">
            <v>SBCG500270</v>
          </cell>
          <cell r="D40" t="str">
            <v>CAMPO GRANDE</v>
          </cell>
          <cell r="E40" t="str">
            <v>MS</v>
          </cell>
          <cell r="F40" t="str">
            <v>ü</v>
          </cell>
          <cell r="G40" t="str">
            <v>Adequação</v>
          </cell>
          <cell r="H40">
            <v>116790000</v>
          </cell>
          <cell r="I40">
            <v>116790000</v>
          </cell>
          <cell r="J40">
            <v>116790000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350370000</v>
          </cell>
          <cell r="AN40" t="str">
            <v>-</v>
          </cell>
        </row>
        <row r="41">
          <cell r="C41" t="str">
            <v>SBCH420420</v>
          </cell>
          <cell r="D41" t="str">
            <v>CHAPECÓ</v>
          </cell>
          <cell r="E41" t="str">
            <v>SC</v>
          </cell>
          <cell r="F41" t="str">
            <v>ü</v>
          </cell>
          <cell r="G41" t="str">
            <v>Adequação</v>
          </cell>
          <cell r="H41">
            <v>69065000</v>
          </cell>
          <cell r="I41">
            <v>69065000</v>
          </cell>
          <cell r="J41">
            <v>69065000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207195000</v>
          </cell>
          <cell r="AN41" t="str">
            <v>-</v>
          </cell>
        </row>
        <row r="42">
          <cell r="C42" t="str">
            <v>SBCJ150553</v>
          </cell>
          <cell r="D42" t="str">
            <v>PARAUAPEBAS</v>
          </cell>
          <cell r="E42" t="str">
            <v>PA</v>
          </cell>
          <cell r="F42" t="str">
            <v>ü</v>
          </cell>
          <cell r="G42" t="str">
            <v>Adequação</v>
          </cell>
          <cell r="H42">
            <v>30930000</v>
          </cell>
          <cell r="I42">
            <v>30930000</v>
          </cell>
          <cell r="J42">
            <v>30930000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92790000</v>
          </cell>
          <cell r="AN42" t="str">
            <v>-</v>
          </cell>
        </row>
        <row r="43">
          <cell r="C43" t="str">
            <v>SBCP330100</v>
          </cell>
          <cell r="D43" t="str">
            <v>CAMPOS DOS GOYTACAZES</v>
          </cell>
          <cell r="E43" t="str">
            <v>RJ</v>
          </cell>
          <cell r="F43" t="str">
            <v>ü</v>
          </cell>
          <cell r="G43" t="str">
            <v>Adequação</v>
          </cell>
          <cell r="H43">
            <v>20253333.333333332</v>
          </cell>
          <cell r="I43">
            <v>20253333.333333332</v>
          </cell>
          <cell r="J43">
            <v>20253333.333333332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60760000</v>
          </cell>
          <cell r="AN43" t="str">
            <v>-</v>
          </cell>
        </row>
        <row r="44">
          <cell r="C44" t="str">
            <v>SBCR500320</v>
          </cell>
          <cell r="D44" t="str">
            <v>CORUMBÁ</v>
          </cell>
          <cell r="E44" t="str">
            <v>MS</v>
          </cell>
          <cell r="F44" t="str">
            <v>ü</v>
          </cell>
          <cell r="G44" t="str">
            <v>Adequação</v>
          </cell>
          <cell r="H44">
            <v>17651666.666666668</v>
          </cell>
          <cell r="I44">
            <v>17651666.666666668</v>
          </cell>
          <cell r="J44">
            <v>17651666.666666668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52955000</v>
          </cell>
          <cell r="AN44" t="str">
            <v>-</v>
          </cell>
        </row>
        <row r="45">
          <cell r="C45" t="str">
            <v>SBCT412550</v>
          </cell>
          <cell r="D45" t="str">
            <v>SÃO JOSÉ DOS PINHAIS</v>
          </cell>
          <cell r="E45" t="str">
            <v>PR</v>
          </cell>
          <cell r="F45" t="str">
            <v>ü</v>
          </cell>
          <cell r="G45" t="str">
            <v>Adequação</v>
          </cell>
          <cell r="H45">
            <v>165205000</v>
          </cell>
          <cell r="I45">
            <v>165205000</v>
          </cell>
          <cell r="J45">
            <v>165205000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495615000</v>
          </cell>
          <cell r="AN45" t="str">
            <v>-</v>
          </cell>
        </row>
        <row r="46">
          <cell r="C46" t="str">
            <v>SBCX430510</v>
          </cell>
          <cell r="D46" t="str">
            <v>CAXIAS DO SUL</v>
          </cell>
          <cell r="E46" t="str">
            <v>RS</v>
          </cell>
          <cell r="F46" t="str">
            <v>ü</v>
          </cell>
          <cell r="G46" t="str">
            <v>Adequação</v>
          </cell>
          <cell r="H46">
            <v>18561833.333333336</v>
          </cell>
          <cell r="I46">
            <v>18561833.333333336</v>
          </cell>
          <cell r="J46">
            <v>18561833.333333336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55685500.000000007</v>
          </cell>
          <cell r="AN46" t="str">
            <v>S e SE</v>
          </cell>
        </row>
        <row r="47">
          <cell r="C47" t="str">
            <v>SBCY510840</v>
          </cell>
          <cell r="D47" t="str">
            <v>VÁRZEA GRANDE</v>
          </cell>
          <cell r="E47" t="str">
            <v>MT</v>
          </cell>
          <cell r="F47" t="str">
            <v>ü</v>
          </cell>
          <cell r="G47" t="str">
            <v>Adequação</v>
          </cell>
          <cell r="H47">
            <v>236893333.33333334</v>
          </cell>
          <cell r="I47">
            <v>236893333.33333334</v>
          </cell>
          <cell r="J47">
            <v>236893333.33333334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710680000</v>
          </cell>
          <cell r="AN47" t="str">
            <v>-</v>
          </cell>
        </row>
        <row r="48">
          <cell r="C48" t="str">
            <v>SBCZ120020</v>
          </cell>
          <cell r="D48" t="str">
            <v>CRUZEIRO DO SUL</v>
          </cell>
          <cell r="E48" t="str">
            <v>AC</v>
          </cell>
          <cell r="F48" t="str">
            <v>ü</v>
          </cell>
          <cell r="G48" t="str">
            <v>Adequação</v>
          </cell>
          <cell r="H48">
            <v>7205000</v>
          </cell>
          <cell r="I48">
            <v>7205000</v>
          </cell>
          <cell r="J48">
            <v>7205000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21615000</v>
          </cell>
          <cell r="AN48" t="str">
            <v>-</v>
          </cell>
        </row>
        <row r="49">
          <cell r="C49" t="str">
            <v>SBDB500220</v>
          </cell>
          <cell r="D49" t="str">
            <v>BONITO</v>
          </cell>
          <cell r="E49" t="str">
            <v>MS</v>
          </cell>
          <cell r="F49" t="str">
            <v>ü</v>
          </cell>
          <cell r="G49" t="str">
            <v>Adequação</v>
          </cell>
          <cell r="H49">
            <v>31357500</v>
          </cell>
          <cell r="I49">
            <v>31357500</v>
          </cell>
          <cell r="J49">
            <v>31357500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94072500</v>
          </cell>
          <cell r="AN49" t="str">
            <v>NE e CO</v>
          </cell>
        </row>
        <row r="50">
          <cell r="C50" t="str">
            <v>SBDN354140</v>
          </cell>
          <cell r="D50" t="str">
            <v>PRESIDENTE PRUDENTE</v>
          </cell>
          <cell r="E50" t="str">
            <v>SP</v>
          </cell>
          <cell r="F50" t="str">
            <v>ü</v>
          </cell>
          <cell r="G50" t="str">
            <v>Adequação</v>
          </cell>
          <cell r="H50">
            <v>27811666.666666668</v>
          </cell>
          <cell r="I50">
            <v>27811666.666666668</v>
          </cell>
          <cell r="J50">
            <v>27811666.666666668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83435000</v>
          </cell>
          <cell r="AN50" t="str">
            <v>-</v>
          </cell>
        </row>
        <row r="51">
          <cell r="C51" t="str">
            <v>SBDO500370</v>
          </cell>
          <cell r="D51" t="str">
            <v>DOURADOS</v>
          </cell>
          <cell r="E51" t="str">
            <v>MS</v>
          </cell>
          <cell r="F51" t="str">
            <v>ü</v>
          </cell>
          <cell r="G51" t="str">
            <v>Adequação</v>
          </cell>
          <cell r="H51">
            <v>26410000</v>
          </cell>
          <cell r="I51">
            <v>26410000</v>
          </cell>
          <cell r="J51">
            <v>26410000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79230000</v>
          </cell>
          <cell r="AN51" t="str">
            <v>NE e CO</v>
          </cell>
        </row>
        <row r="52">
          <cell r="C52" t="str">
            <v>SBEG130260</v>
          </cell>
          <cell r="D52" t="str">
            <v>MANAUS</v>
          </cell>
          <cell r="E52" t="str">
            <v>AM</v>
          </cell>
          <cell r="F52" t="str">
            <v>ü</v>
          </cell>
          <cell r="G52" t="str">
            <v>Adequação</v>
          </cell>
          <cell r="H52">
            <v>160238333.33333334</v>
          </cell>
          <cell r="I52">
            <v>160238333.33333334</v>
          </cell>
          <cell r="J52">
            <v>160238333.33333334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480715000</v>
          </cell>
          <cell r="AN52" t="str">
            <v>-</v>
          </cell>
        </row>
        <row r="53">
          <cell r="C53" t="str">
            <v>SBFI410830</v>
          </cell>
          <cell r="D53" t="str">
            <v>FOZ DO IGUAÇU</v>
          </cell>
          <cell r="E53" t="str">
            <v>PR</v>
          </cell>
          <cell r="F53" t="str">
            <v>ü</v>
          </cell>
          <cell r="G53" t="str">
            <v>Adequação</v>
          </cell>
          <cell r="H53">
            <v>71703333.333333328</v>
          </cell>
          <cell r="I53">
            <v>71703333.333333328</v>
          </cell>
          <cell r="J53">
            <v>71703333.333333328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215110000</v>
          </cell>
          <cell r="AN53" t="str">
            <v>-</v>
          </cell>
        </row>
        <row r="54">
          <cell r="C54" t="str">
            <v>SBFN260545</v>
          </cell>
          <cell r="D54" t="str">
            <v>FERNANDO DE NORONHA</v>
          </cell>
          <cell r="E54" t="str">
            <v>PE</v>
          </cell>
          <cell r="F54" t="str">
            <v>ü</v>
          </cell>
          <cell r="G54" t="str">
            <v>Adequação</v>
          </cell>
          <cell r="H54">
            <v>34021666.666666664</v>
          </cell>
          <cell r="I54">
            <v>34021666.666666664</v>
          </cell>
          <cell r="J54">
            <v>34021666.666666664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102065000</v>
          </cell>
          <cell r="AN54" t="str">
            <v>-</v>
          </cell>
        </row>
        <row r="55">
          <cell r="C55" t="str">
            <v>SBFZ230440</v>
          </cell>
          <cell r="D55" t="str">
            <v>FORTALEZA</v>
          </cell>
          <cell r="E55" t="str">
            <v>CE</v>
          </cell>
          <cell r="F55" t="str">
            <v>ü</v>
          </cell>
          <cell r="G55" t="str">
            <v>Adequação</v>
          </cell>
          <cell r="H55">
            <v>241185000</v>
          </cell>
          <cell r="I55">
            <v>241185000</v>
          </cell>
          <cell r="J55">
            <v>241185000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723555000</v>
          </cell>
          <cell r="AN55" t="str">
            <v>-</v>
          </cell>
        </row>
        <row r="56">
          <cell r="C56" t="str">
            <v>SBGL330455</v>
          </cell>
          <cell r="D56" t="str">
            <v>RIO DE JANEIRO</v>
          </cell>
          <cell r="E56" t="str">
            <v>RJ</v>
          </cell>
          <cell r="F56" t="str">
            <v>ü</v>
          </cell>
          <cell r="G56" t="str">
            <v>Adequação</v>
          </cell>
          <cell r="H56">
            <v>207908333.33333334</v>
          </cell>
          <cell r="I56">
            <v>207908333.33333334</v>
          </cell>
          <cell r="J56">
            <v>207908333.33333334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623725000</v>
          </cell>
          <cell r="AN56" t="str">
            <v>-</v>
          </cell>
        </row>
        <row r="57">
          <cell r="C57" t="str">
            <v>SBGM110010</v>
          </cell>
          <cell r="D57" t="str">
            <v>GUAJARÁ-MIRIM</v>
          </cell>
          <cell r="E57" t="str">
            <v>RO</v>
          </cell>
          <cell r="F57" t="str">
            <v>ü</v>
          </cell>
          <cell r="G57" t="str">
            <v>Adequação</v>
          </cell>
          <cell r="H57">
            <v>23681000</v>
          </cell>
          <cell r="I57">
            <v>23681000</v>
          </cell>
          <cell r="J57">
            <v>23681000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71043000</v>
          </cell>
          <cell r="AN57" t="str">
            <v>N</v>
          </cell>
        </row>
        <row r="58">
          <cell r="C58" t="str">
            <v>SBGO520870</v>
          </cell>
          <cell r="D58" t="str">
            <v>GOIÂNIA</v>
          </cell>
          <cell r="E58" t="str">
            <v>GO</v>
          </cell>
          <cell r="F58" t="str">
            <v>ü</v>
          </cell>
          <cell r="G58" t="str">
            <v>Adequação</v>
          </cell>
          <cell r="H58">
            <v>227858333.33333334</v>
          </cell>
          <cell r="I58">
            <v>227858333.33333334</v>
          </cell>
          <cell r="J58">
            <v>227858333.33333334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683575000</v>
          </cell>
          <cell r="AN58" t="str">
            <v>-</v>
          </cell>
        </row>
        <row r="59">
          <cell r="C59" t="str">
            <v>SBHT150060</v>
          </cell>
          <cell r="D59" t="str">
            <v>ALTAMIRA</v>
          </cell>
          <cell r="E59" t="str">
            <v>PA</v>
          </cell>
          <cell r="F59" t="str">
            <v>ü</v>
          </cell>
          <cell r="G59" t="str">
            <v>Adequação</v>
          </cell>
          <cell r="H59">
            <v>40188333.333333336</v>
          </cell>
          <cell r="I59">
            <v>40188333.333333336</v>
          </cell>
          <cell r="J59">
            <v>40188333.333333336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120565000</v>
          </cell>
          <cell r="AN59" t="str">
            <v>-</v>
          </cell>
        </row>
        <row r="60">
          <cell r="C60" t="str">
            <v>SBIC130190</v>
          </cell>
          <cell r="D60" t="str">
            <v>ITACOATIARA</v>
          </cell>
          <cell r="E60" t="str">
            <v>AM</v>
          </cell>
          <cell r="F60" t="str">
            <v>ü</v>
          </cell>
          <cell r="G60" t="str">
            <v>Adequação</v>
          </cell>
          <cell r="H60">
            <v>42925000</v>
          </cell>
          <cell r="I60">
            <v>42925000</v>
          </cell>
          <cell r="J60">
            <v>42925000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128775000</v>
          </cell>
          <cell r="AN60" t="str">
            <v>N</v>
          </cell>
        </row>
        <row r="61">
          <cell r="C61" t="str">
            <v>SBIL291360</v>
          </cell>
          <cell r="D61" t="str">
            <v>ILHÉUS</v>
          </cell>
          <cell r="E61" t="str">
            <v>BA</v>
          </cell>
          <cell r="F61" t="str">
            <v>ü</v>
          </cell>
          <cell r="G61" t="str">
            <v>Adequação</v>
          </cell>
          <cell r="H61">
            <v>81508333.333333328</v>
          </cell>
          <cell r="I61">
            <v>81508333.333333328</v>
          </cell>
          <cell r="J61">
            <v>81508333.333333328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244525000</v>
          </cell>
          <cell r="AN61" t="str">
            <v>-</v>
          </cell>
        </row>
        <row r="62">
          <cell r="C62" t="str">
            <v>SBIP315895</v>
          </cell>
          <cell r="D62" t="str">
            <v>SANTANA DO PARAÍSO</v>
          </cell>
          <cell r="E62" t="str">
            <v>MG</v>
          </cell>
          <cell r="F62" t="str">
            <v>ü</v>
          </cell>
          <cell r="G62" t="str">
            <v>Adequação</v>
          </cell>
          <cell r="H62">
            <v>34790000</v>
          </cell>
          <cell r="I62">
            <v>34790000</v>
          </cell>
          <cell r="J62">
            <v>34790000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104370000</v>
          </cell>
          <cell r="AN62" t="str">
            <v>-</v>
          </cell>
        </row>
        <row r="63">
          <cell r="C63" t="str">
            <v>SBJE230425</v>
          </cell>
          <cell r="D63" t="str">
            <v>CRUZ</v>
          </cell>
          <cell r="E63" t="str">
            <v>CE</v>
          </cell>
          <cell r="F63" t="str">
            <v>ü</v>
          </cell>
          <cell r="G63" t="str">
            <v>Adequação</v>
          </cell>
          <cell r="H63">
            <v>24155000</v>
          </cell>
          <cell r="I63">
            <v>24155000</v>
          </cell>
          <cell r="J63">
            <v>24155000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72465000</v>
          </cell>
          <cell r="AN63" t="str">
            <v>-</v>
          </cell>
        </row>
        <row r="64">
          <cell r="C64" t="str">
            <v>SBJI110012</v>
          </cell>
          <cell r="D64" t="str">
            <v>JI-PARANÁ</v>
          </cell>
          <cell r="E64" t="str">
            <v>RO</v>
          </cell>
          <cell r="F64" t="str">
            <v>ü</v>
          </cell>
          <cell r="G64" t="str">
            <v>Adequação</v>
          </cell>
          <cell r="H64">
            <v>19385000</v>
          </cell>
          <cell r="I64">
            <v>19385000</v>
          </cell>
          <cell r="J64">
            <v>19385000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58155000</v>
          </cell>
          <cell r="AN64" t="str">
            <v>-</v>
          </cell>
        </row>
        <row r="65">
          <cell r="C65" t="str">
            <v>SBJP250180</v>
          </cell>
          <cell r="D65" t="str">
            <v>BAYEUX</v>
          </cell>
          <cell r="E65" t="str">
            <v>PB</v>
          </cell>
          <cell r="F65" t="str">
            <v>ü</v>
          </cell>
          <cell r="G65" t="str">
            <v>Adequação</v>
          </cell>
          <cell r="H65">
            <v>139831666.66666666</v>
          </cell>
          <cell r="I65">
            <v>139831666.66666666</v>
          </cell>
          <cell r="J65">
            <v>139831666.66666666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419495000</v>
          </cell>
          <cell r="AN65" t="str">
            <v>-</v>
          </cell>
        </row>
        <row r="66">
          <cell r="C66" t="str">
            <v>SBJV420910</v>
          </cell>
          <cell r="D66" t="str">
            <v>JOINVILLE</v>
          </cell>
          <cell r="E66" t="str">
            <v>SC</v>
          </cell>
          <cell r="F66" t="str">
            <v>ü</v>
          </cell>
          <cell r="G66" t="str">
            <v>Adequação</v>
          </cell>
          <cell r="H66">
            <v>65680000</v>
          </cell>
          <cell r="I66">
            <v>65680000</v>
          </cell>
          <cell r="J66">
            <v>65680000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197040000</v>
          </cell>
          <cell r="AN66" t="str">
            <v>-</v>
          </cell>
        </row>
        <row r="67">
          <cell r="C67" t="str">
            <v>SBKG250400</v>
          </cell>
          <cell r="D67" t="str">
            <v>CAMPINA GRANDE</v>
          </cell>
          <cell r="E67" t="str">
            <v>PB</v>
          </cell>
          <cell r="F67" t="str">
            <v>ü</v>
          </cell>
          <cell r="G67" t="str">
            <v>Adequação</v>
          </cell>
          <cell r="H67">
            <v>31806666.666666668</v>
          </cell>
          <cell r="I67">
            <v>31806666.666666668</v>
          </cell>
          <cell r="J67">
            <v>31806666.666666668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95420000</v>
          </cell>
          <cell r="AN67" t="str">
            <v>-</v>
          </cell>
        </row>
        <row r="68">
          <cell r="C68" t="str">
            <v>SBKP350950</v>
          </cell>
          <cell r="D68" t="str">
            <v>CAMPINAS</v>
          </cell>
          <cell r="E68" t="str">
            <v>SP</v>
          </cell>
          <cell r="F68" t="str">
            <v>ü</v>
          </cell>
          <cell r="G68" t="str">
            <v>Adequação</v>
          </cell>
          <cell r="H68">
            <v>170203333.33333334</v>
          </cell>
          <cell r="I68">
            <v>170203333.33333334</v>
          </cell>
          <cell r="J68">
            <v>170203333.33333334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510610000</v>
          </cell>
          <cell r="AN68" t="str">
            <v>-</v>
          </cell>
        </row>
        <row r="69">
          <cell r="C69" t="str">
            <v>SBLO411370</v>
          </cell>
          <cell r="D69" t="str">
            <v>LONDRINA</v>
          </cell>
          <cell r="E69" t="str">
            <v>PR</v>
          </cell>
          <cell r="F69" t="str">
            <v>ü</v>
          </cell>
          <cell r="G69" t="str">
            <v>Adequação</v>
          </cell>
          <cell r="H69">
            <v>158611666.66666666</v>
          </cell>
          <cell r="I69">
            <v>158611666.66666666</v>
          </cell>
          <cell r="J69">
            <v>158611666.66666666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475835000</v>
          </cell>
          <cell r="AN69" t="str">
            <v>-</v>
          </cell>
        </row>
        <row r="70">
          <cell r="C70" t="str">
            <v>SBMA150420</v>
          </cell>
          <cell r="D70" t="str">
            <v>MARABÁ</v>
          </cell>
          <cell r="E70" t="str">
            <v>PA</v>
          </cell>
          <cell r="F70" t="str">
            <v>ü</v>
          </cell>
          <cell r="G70" t="str">
            <v>Adequação</v>
          </cell>
          <cell r="H70">
            <v>88273333.333333328</v>
          </cell>
          <cell r="I70">
            <v>88273333.333333328</v>
          </cell>
          <cell r="J70">
            <v>88273333.333333328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264820000</v>
          </cell>
          <cell r="AN70" t="str">
            <v>-</v>
          </cell>
        </row>
        <row r="71">
          <cell r="C71" t="str">
            <v>SBMD150050</v>
          </cell>
          <cell r="D71" t="str">
            <v>ALMEIRIM</v>
          </cell>
          <cell r="E71" t="str">
            <v>PA</v>
          </cell>
          <cell r="F71" t="str">
            <v>ü</v>
          </cell>
          <cell r="G71" t="str">
            <v>Adequação</v>
          </cell>
          <cell r="H71">
            <v>46812333.333333336</v>
          </cell>
          <cell r="I71">
            <v>46812333.333333336</v>
          </cell>
          <cell r="J71">
            <v>46812333.333333336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140437000</v>
          </cell>
          <cell r="AN71" t="str">
            <v>N</v>
          </cell>
        </row>
        <row r="72">
          <cell r="C72" t="str">
            <v>SBME330240</v>
          </cell>
          <cell r="D72" t="str">
            <v>MACAÉ</v>
          </cell>
          <cell r="E72" t="str">
            <v>RJ</v>
          </cell>
          <cell r="F72" t="str">
            <v>ü</v>
          </cell>
          <cell r="G72" t="str">
            <v>Adequação</v>
          </cell>
          <cell r="H72">
            <v>9940000</v>
          </cell>
          <cell r="I72">
            <v>9940000</v>
          </cell>
          <cell r="J72">
            <v>9940000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29820000</v>
          </cell>
          <cell r="AN72" t="str">
            <v>-</v>
          </cell>
        </row>
        <row r="73">
          <cell r="C73" t="str">
            <v>SBMG411520</v>
          </cell>
          <cell r="D73" t="str">
            <v>MARINGÁ</v>
          </cell>
          <cell r="E73" t="str">
            <v>PR</v>
          </cell>
          <cell r="F73" t="str">
            <v>ü</v>
          </cell>
          <cell r="G73" t="str">
            <v>Adequação</v>
          </cell>
          <cell r="H73">
            <v>63763333.333333336</v>
          </cell>
          <cell r="I73">
            <v>63763333.333333336</v>
          </cell>
          <cell r="J73">
            <v>63763333.333333336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191290000</v>
          </cell>
          <cell r="AN73" t="str">
            <v>-</v>
          </cell>
        </row>
        <row r="74">
          <cell r="C74" t="str">
            <v>SBMK314330</v>
          </cell>
          <cell r="D74" t="str">
            <v>MONTES CLAROS</v>
          </cell>
          <cell r="E74" t="str">
            <v>MG</v>
          </cell>
          <cell r="F74" t="str">
            <v>ü</v>
          </cell>
          <cell r="G74" t="str">
            <v>Adequação</v>
          </cell>
          <cell r="H74">
            <v>30856666.666666668</v>
          </cell>
          <cell r="I74">
            <v>30856666.666666668</v>
          </cell>
          <cell r="J74">
            <v>30856666.666666668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92570000</v>
          </cell>
          <cell r="AN74" t="str">
            <v>-</v>
          </cell>
        </row>
        <row r="75">
          <cell r="C75" t="str">
            <v>SBML352900</v>
          </cell>
          <cell r="D75" t="str">
            <v>MARÍLIA</v>
          </cell>
          <cell r="E75" t="str">
            <v>SP</v>
          </cell>
          <cell r="F75" t="str">
            <v>ü</v>
          </cell>
          <cell r="G75" t="str">
            <v>Adequação</v>
          </cell>
          <cell r="H75">
            <v>18510000</v>
          </cell>
          <cell r="I75">
            <v>18510000</v>
          </cell>
          <cell r="J75">
            <v>18510000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55530000</v>
          </cell>
          <cell r="AN75" t="str">
            <v>-</v>
          </cell>
        </row>
        <row r="76">
          <cell r="C76" t="str">
            <v>SBMS240800</v>
          </cell>
          <cell r="D76" t="str">
            <v>MOSSORÓ</v>
          </cell>
          <cell r="E76" t="str">
            <v>RN</v>
          </cell>
          <cell r="F76" t="str">
            <v>ü</v>
          </cell>
          <cell r="G76" t="str">
            <v>Adequação</v>
          </cell>
          <cell r="H76">
            <v>22053333.333333332</v>
          </cell>
          <cell r="I76">
            <v>22053333.333333332</v>
          </cell>
          <cell r="J76">
            <v>22053333.333333332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66160000</v>
          </cell>
          <cell r="AN76" t="str">
            <v>-</v>
          </cell>
        </row>
        <row r="77">
          <cell r="C77" t="str">
            <v>SBMY130270</v>
          </cell>
          <cell r="D77" t="str">
            <v>MANICORÉ</v>
          </cell>
          <cell r="E77" t="str">
            <v>AM</v>
          </cell>
          <cell r="F77" t="str">
            <v>ü</v>
          </cell>
          <cell r="G77" t="str">
            <v>Adequação</v>
          </cell>
          <cell r="H77">
            <v>11628000</v>
          </cell>
          <cell r="I77">
            <v>11628000</v>
          </cell>
          <cell r="J77">
            <v>11628000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34884000</v>
          </cell>
          <cell r="AN77" t="str">
            <v>N</v>
          </cell>
        </row>
        <row r="78">
          <cell r="C78" t="str">
            <v>SBNF421130</v>
          </cell>
          <cell r="D78" t="str">
            <v>NAVEGANTES</v>
          </cell>
          <cell r="E78" t="str">
            <v>SC</v>
          </cell>
          <cell r="F78" t="str">
            <v>ü</v>
          </cell>
          <cell r="G78" t="str">
            <v>Adequação</v>
          </cell>
          <cell r="H78">
            <v>239351666.66666666</v>
          </cell>
          <cell r="I78">
            <v>239351666.66666666</v>
          </cell>
          <cell r="J78">
            <v>239351666.66666666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718055000</v>
          </cell>
          <cell r="AN78" t="str">
            <v>-</v>
          </cell>
        </row>
        <row r="79">
          <cell r="C79" t="str">
            <v>SBNM431750</v>
          </cell>
          <cell r="D79" t="str">
            <v>SANTO ÂNGELO</v>
          </cell>
          <cell r="E79" t="str">
            <v>RS</v>
          </cell>
          <cell r="F79" t="str">
            <v>ü</v>
          </cell>
          <cell r="G79" t="str">
            <v>Adequação</v>
          </cell>
          <cell r="H79">
            <v>18120000</v>
          </cell>
          <cell r="I79">
            <v>18120000</v>
          </cell>
          <cell r="J79">
            <v>18120000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54360000</v>
          </cell>
          <cell r="AN79" t="str">
            <v>-</v>
          </cell>
        </row>
        <row r="80">
          <cell r="C80" t="str">
            <v>SBOI160050</v>
          </cell>
          <cell r="D80" t="str">
            <v>OIAPOQUE</v>
          </cell>
          <cell r="E80" t="str">
            <v>AP</v>
          </cell>
          <cell r="F80" t="str">
            <v>ü</v>
          </cell>
          <cell r="G80" t="str">
            <v>Adequação</v>
          </cell>
          <cell r="H80">
            <v>17708333.333333332</v>
          </cell>
          <cell r="I80">
            <v>17708333.333333332</v>
          </cell>
          <cell r="J80">
            <v>17708333.333333332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53125000</v>
          </cell>
          <cell r="AN80" t="str">
            <v>N</v>
          </cell>
        </row>
        <row r="81">
          <cell r="C81" t="str">
            <v>SBPA431490</v>
          </cell>
          <cell r="D81" t="str">
            <v>PORTO ALEGRE</v>
          </cell>
          <cell r="E81" t="str">
            <v>RS</v>
          </cell>
          <cell r="F81" t="str">
            <v>ü</v>
          </cell>
          <cell r="G81" t="str">
            <v>Adequação</v>
          </cell>
          <cell r="H81">
            <v>301028333.33333331</v>
          </cell>
          <cell r="I81">
            <v>301028333.33333331</v>
          </cell>
          <cell r="J81">
            <v>301028333.33333331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903085000</v>
          </cell>
          <cell r="AN81" t="str">
            <v>-</v>
          </cell>
        </row>
        <row r="82">
          <cell r="C82" t="str">
            <v>SBPB220770</v>
          </cell>
          <cell r="D82" t="str">
            <v>PARNAÍBA</v>
          </cell>
          <cell r="E82" t="str">
            <v>PI</v>
          </cell>
          <cell r="F82" t="str">
            <v>ü</v>
          </cell>
          <cell r="G82" t="str">
            <v>Adequação</v>
          </cell>
          <cell r="H82">
            <v>30666666.666666668</v>
          </cell>
          <cell r="I82">
            <v>30666666.666666668</v>
          </cell>
          <cell r="J82">
            <v>30666666.666666668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92000000</v>
          </cell>
          <cell r="AN82" t="str">
            <v>-</v>
          </cell>
        </row>
        <row r="83">
          <cell r="C83" t="str">
            <v>SBPF431410</v>
          </cell>
          <cell r="D83" t="str">
            <v>PASSO FUNDO</v>
          </cell>
          <cell r="E83" t="str">
            <v>RS</v>
          </cell>
          <cell r="F83" t="str">
            <v>ü</v>
          </cell>
          <cell r="G83" t="str">
            <v>Adequação</v>
          </cell>
          <cell r="H83">
            <v>34981666.666666664</v>
          </cell>
          <cell r="I83">
            <v>34981666.666666664</v>
          </cell>
          <cell r="J83">
            <v>34981666.666666664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104945000</v>
          </cell>
          <cell r="AN83" t="str">
            <v>-</v>
          </cell>
        </row>
        <row r="84">
          <cell r="C84" t="str">
            <v>SSZW411990</v>
          </cell>
          <cell r="D84" t="str">
            <v>PONTA GROSSA</v>
          </cell>
          <cell r="E84" t="str">
            <v>PR</v>
          </cell>
          <cell r="F84" t="str">
            <v>ü</v>
          </cell>
          <cell r="G84" t="str">
            <v>Adequação</v>
          </cell>
          <cell r="H84">
            <v>27293500</v>
          </cell>
          <cell r="I84">
            <v>27293500</v>
          </cell>
          <cell r="J84">
            <v>27293500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81880500</v>
          </cell>
          <cell r="AN84" t="str">
            <v>S e SE</v>
          </cell>
        </row>
        <row r="85">
          <cell r="C85" t="str">
            <v>SBPJ172100</v>
          </cell>
          <cell r="D85" t="str">
            <v>PALMAS</v>
          </cell>
          <cell r="E85" t="str">
            <v>TO</v>
          </cell>
          <cell r="F85" t="str">
            <v>ü</v>
          </cell>
          <cell r="G85" t="str">
            <v>Adequação</v>
          </cell>
          <cell r="H85">
            <v>155176666.66666666</v>
          </cell>
          <cell r="I85">
            <v>155176666.66666666</v>
          </cell>
          <cell r="J85">
            <v>155176666.66666666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465530000</v>
          </cell>
          <cell r="AN85" t="str">
            <v>-</v>
          </cell>
        </row>
        <row r="86">
          <cell r="C86" t="str">
            <v>SBPK431440</v>
          </cell>
          <cell r="D86" t="str">
            <v>PELOTAS</v>
          </cell>
          <cell r="E86" t="str">
            <v>RS</v>
          </cell>
          <cell r="F86" t="str">
            <v>ü</v>
          </cell>
          <cell r="G86" t="str">
            <v>Adequação</v>
          </cell>
          <cell r="H86">
            <v>10111666.666666666</v>
          </cell>
          <cell r="I86">
            <v>10111666.666666666</v>
          </cell>
          <cell r="J86">
            <v>10111666.666666666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30335000</v>
          </cell>
          <cell r="AN86" t="str">
            <v>-</v>
          </cell>
        </row>
        <row r="87">
          <cell r="C87" t="str">
            <v>SBPL261110</v>
          </cell>
          <cell r="D87" t="str">
            <v>PETROLINA</v>
          </cell>
          <cell r="E87" t="str">
            <v>PE</v>
          </cell>
          <cell r="F87" t="str">
            <v>ü</v>
          </cell>
          <cell r="G87" t="str">
            <v>Adequação</v>
          </cell>
          <cell r="H87">
            <v>62670000</v>
          </cell>
          <cell r="I87">
            <v>62670000</v>
          </cell>
          <cell r="J87">
            <v>62670000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188010000</v>
          </cell>
          <cell r="AN87" t="str">
            <v>-</v>
          </cell>
        </row>
        <row r="88">
          <cell r="C88" t="str">
            <v>SSPB411850</v>
          </cell>
          <cell r="D88" t="str">
            <v>PATO BRANCO</v>
          </cell>
          <cell r="E88" t="str">
            <v>PR</v>
          </cell>
          <cell r="F88" t="str">
            <v>ü</v>
          </cell>
          <cell r="G88" t="str">
            <v>Adequação</v>
          </cell>
          <cell r="H88">
            <v>26734500</v>
          </cell>
          <cell r="I88">
            <v>26734500</v>
          </cell>
          <cell r="J88">
            <v>26734500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80203500</v>
          </cell>
          <cell r="AN88" t="str">
            <v>S e SE</v>
          </cell>
        </row>
        <row r="89">
          <cell r="C89" t="str">
            <v>SBPP500660</v>
          </cell>
          <cell r="D89" t="str">
            <v>PONTA PORÃ</v>
          </cell>
          <cell r="E89" t="str">
            <v>MS</v>
          </cell>
          <cell r="F89" t="str">
            <v>ü</v>
          </cell>
          <cell r="G89" t="str">
            <v>Adequação</v>
          </cell>
          <cell r="H89">
            <v>16655000</v>
          </cell>
          <cell r="I89">
            <v>16655000</v>
          </cell>
          <cell r="J89">
            <v>16655000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49965000</v>
          </cell>
          <cell r="AN89" t="str">
            <v>-</v>
          </cell>
        </row>
        <row r="90">
          <cell r="C90" t="str">
            <v>SBPS292530</v>
          </cell>
          <cell r="D90" t="str">
            <v>PORTO SEGURO</v>
          </cell>
          <cell r="E90" t="str">
            <v>BA</v>
          </cell>
          <cell r="F90" t="str">
            <v>ü</v>
          </cell>
          <cell r="G90" t="str">
            <v>Adequação</v>
          </cell>
          <cell r="H90">
            <v>259943333.33333334</v>
          </cell>
          <cell r="I90">
            <v>259943333.33333334</v>
          </cell>
          <cell r="J90">
            <v>259943333.33333334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779830000</v>
          </cell>
          <cell r="AN90" t="str">
            <v>-</v>
          </cell>
        </row>
        <row r="91">
          <cell r="C91" t="str">
            <v>SBPV110020</v>
          </cell>
          <cell r="D91" t="str">
            <v>PORTO VELHO</v>
          </cell>
          <cell r="E91" t="str">
            <v>RO</v>
          </cell>
          <cell r="F91" t="str">
            <v>ü</v>
          </cell>
          <cell r="G91" t="str">
            <v>Adequação</v>
          </cell>
          <cell r="H91">
            <v>168275000</v>
          </cell>
          <cell r="I91">
            <v>168275000</v>
          </cell>
          <cell r="J91">
            <v>168275000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504825000</v>
          </cell>
          <cell r="AN91" t="str">
            <v>-</v>
          </cell>
        </row>
        <row r="92">
          <cell r="C92" t="str">
            <v>SBRB120040</v>
          </cell>
          <cell r="D92" t="str">
            <v>RIO BRANCO</v>
          </cell>
          <cell r="E92" t="str">
            <v>AC</v>
          </cell>
          <cell r="F92" t="str">
            <v>ü</v>
          </cell>
          <cell r="G92" t="str">
            <v>Adequação</v>
          </cell>
          <cell r="H92">
            <v>37615000</v>
          </cell>
          <cell r="I92">
            <v>37615000</v>
          </cell>
          <cell r="J92">
            <v>37615000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112845000</v>
          </cell>
          <cell r="AN92" t="str">
            <v>-</v>
          </cell>
        </row>
        <row r="93">
          <cell r="C93" t="str">
            <v>SBRD510760</v>
          </cell>
          <cell r="D93" t="str">
            <v>RONDONÓPOLIS</v>
          </cell>
          <cell r="E93" t="str">
            <v>MT</v>
          </cell>
          <cell r="F93" t="str">
            <v>ü</v>
          </cell>
          <cell r="G93" t="str">
            <v>Adequação</v>
          </cell>
          <cell r="H93">
            <v>20638333.333333332</v>
          </cell>
          <cell r="I93">
            <v>20638333.333333332</v>
          </cell>
          <cell r="J93">
            <v>20638333.333333332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61915000</v>
          </cell>
          <cell r="AN93" t="str">
            <v>-</v>
          </cell>
        </row>
        <row r="94">
          <cell r="C94" t="str">
            <v>SBRF261160</v>
          </cell>
          <cell r="D94" t="str">
            <v>RECIFE</v>
          </cell>
          <cell r="E94" t="str">
            <v>PE</v>
          </cell>
          <cell r="F94" t="str">
            <v>ü</v>
          </cell>
          <cell r="G94" t="str">
            <v>Adequação</v>
          </cell>
          <cell r="H94">
            <v>351431666.66666669</v>
          </cell>
          <cell r="I94">
            <v>351431666.66666669</v>
          </cell>
          <cell r="J94">
            <v>351431666.66666669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1054295000</v>
          </cell>
          <cell r="AN94" t="str">
            <v>-</v>
          </cell>
        </row>
        <row r="95">
          <cell r="C95" t="str">
            <v>SBRJ330455</v>
          </cell>
          <cell r="D95" t="str">
            <v>RIO DE JANEIRO</v>
          </cell>
          <cell r="E95" t="str">
            <v>RJ</v>
          </cell>
          <cell r="F95" t="str">
            <v>ü</v>
          </cell>
          <cell r="G95" t="str">
            <v>Adequação</v>
          </cell>
          <cell r="H95">
            <v>240240000</v>
          </cell>
          <cell r="I95">
            <v>240240000</v>
          </cell>
          <cell r="J95">
            <v>240240000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720720000</v>
          </cell>
          <cell r="AN95" t="str">
            <v>-</v>
          </cell>
        </row>
        <row r="96">
          <cell r="C96" t="str">
            <v>SBRP354340</v>
          </cell>
          <cell r="D96" t="str">
            <v>RIBEIRÃO PRETO</v>
          </cell>
          <cell r="E96" t="str">
            <v>SP</v>
          </cell>
          <cell r="F96" t="str">
            <v>ü</v>
          </cell>
          <cell r="G96" t="str">
            <v>Adequação</v>
          </cell>
          <cell r="H96">
            <v>181991666.66666666</v>
          </cell>
          <cell r="I96">
            <v>181991666.66666666</v>
          </cell>
          <cell r="J96">
            <v>181991666.66666666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545975000</v>
          </cell>
          <cell r="AN96" t="str">
            <v>-</v>
          </cell>
        </row>
        <row r="97">
          <cell r="C97" t="str">
            <v>SBSG241200</v>
          </cell>
          <cell r="D97" t="str">
            <v>SÃO GONÇALO DO AMARANTE</v>
          </cell>
          <cell r="E97" t="str">
            <v>RN</v>
          </cell>
          <cell r="F97" t="str">
            <v>ü</v>
          </cell>
          <cell r="G97" t="str">
            <v>Adequação</v>
          </cell>
          <cell r="H97">
            <v>111166666.66666667</v>
          </cell>
          <cell r="I97">
            <v>111166666.66666667</v>
          </cell>
          <cell r="J97">
            <v>111166666.66666667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333500000</v>
          </cell>
          <cell r="AN97" t="str">
            <v>-</v>
          </cell>
        </row>
        <row r="98">
          <cell r="C98" t="str">
            <v>SWSI510790</v>
          </cell>
          <cell r="D98" t="str">
            <v>SINOP</v>
          </cell>
          <cell r="E98" t="str">
            <v>MT</v>
          </cell>
          <cell r="F98" t="str">
            <v>ü</v>
          </cell>
          <cell r="G98" t="str">
            <v>Adequação</v>
          </cell>
          <cell r="H98">
            <v>37291666.666666664</v>
          </cell>
          <cell r="I98">
            <v>37291666.666666664</v>
          </cell>
          <cell r="J98">
            <v>37291666.666666664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111875000</v>
          </cell>
          <cell r="AN98" t="str">
            <v>-</v>
          </cell>
        </row>
        <row r="99">
          <cell r="C99" t="str">
            <v>SBSJ354990</v>
          </cell>
          <cell r="D99" t="str">
            <v>SÃO JOSÉ DOS CAMPOS</v>
          </cell>
          <cell r="E99" t="str">
            <v>SP</v>
          </cell>
          <cell r="F99" t="str">
            <v>ü</v>
          </cell>
          <cell r="G99" t="str">
            <v>Adequação</v>
          </cell>
          <cell r="H99">
            <v>13001666.666666666</v>
          </cell>
          <cell r="I99">
            <v>13001666.666666666</v>
          </cell>
          <cell r="J99">
            <v>13001666.666666666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39005000</v>
          </cell>
          <cell r="AN99" t="str">
            <v>-</v>
          </cell>
        </row>
        <row r="100">
          <cell r="C100" t="str">
            <v>SBSL211130</v>
          </cell>
          <cell r="D100" t="str">
            <v>SÃO LUÍS</v>
          </cell>
          <cell r="E100" t="str">
            <v>MA</v>
          </cell>
          <cell r="F100" t="str">
            <v>ü</v>
          </cell>
          <cell r="G100" t="str">
            <v>Adequação</v>
          </cell>
          <cell r="H100">
            <v>138076666.66666666</v>
          </cell>
          <cell r="I100">
            <v>138076666.66666666</v>
          </cell>
          <cell r="J100">
            <v>138076666.66666666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414230000</v>
          </cell>
          <cell r="AN100" t="str">
            <v>-</v>
          </cell>
        </row>
        <row r="101">
          <cell r="C101" t="str">
            <v>SBSN150680</v>
          </cell>
          <cell r="D101" t="str">
            <v>SANTARÉM</v>
          </cell>
          <cell r="E101" t="str">
            <v>PA</v>
          </cell>
          <cell r="F101" t="str">
            <v>ü</v>
          </cell>
          <cell r="G101" t="str">
            <v>Adequação</v>
          </cell>
          <cell r="H101">
            <v>189243333.33333334</v>
          </cell>
          <cell r="I101">
            <v>189243333.33333334</v>
          </cell>
          <cell r="J101">
            <v>189243333.33333334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567730000</v>
          </cell>
          <cell r="AN101" t="str">
            <v>-</v>
          </cell>
        </row>
        <row r="102">
          <cell r="C102" t="str">
            <v>SBSO510792</v>
          </cell>
          <cell r="D102" t="str">
            <v>SORRISO</v>
          </cell>
          <cell r="E102" t="str">
            <v>MT</v>
          </cell>
          <cell r="F102" t="str">
            <v>ü</v>
          </cell>
          <cell r="G102" t="str">
            <v>Adequação</v>
          </cell>
          <cell r="H102">
            <v>22875000</v>
          </cell>
          <cell r="I102">
            <v>22875000</v>
          </cell>
          <cell r="J102">
            <v>22875000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68625000</v>
          </cell>
          <cell r="AN102" t="str">
            <v>-</v>
          </cell>
        </row>
        <row r="103">
          <cell r="C103" t="str">
            <v>SBSP355030</v>
          </cell>
          <cell r="D103" t="str">
            <v>SÃO PAULO</v>
          </cell>
          <cell r="E103" t="str">
            <v>SP</v>
          </cell>
          <cell r="F103" t="str">
            <v>ü</v>
          </cell>
          <cell r="G103" t="str">
            <v>Adequação</v>
          </cell>
          <cell r="H103">
            <v>201861666.66666666</v>
          </cell>
          <cell r="I103">
            <v>201861666.66666666</v>
          </cell>
          <cell r="J103">
            <v>201861666.66666666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605585000</v>
          </cell>
          <cell r="AN103" t="str">
            <v>-</v>
          </cell>
        </row>
        <row r="104">
          <cell r="C104" t="str">
            <v>SBSR354980</v>
          </cell>
          <cell r="D104" t="str">
            <v>SÃO JOSÉ DO RIO PRETO</v>
          </cell>
          <cell r="E104" t="str">
            <v>SP</v>
          </cell>
          <cell r="F104" t="str">
            <v>ü</v>
          </cell>
          <cell r="G104" t="str">
            <v>Adequação</v>
          </cell>
          <cell r="H104">
            <v>75140000</v>
          </cell>
          <cell r="I104">
            <v>75140000</v>
          </cell>
          <cell r="J104">
            <v>75140000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225420000</v>
          </cell>
          <cell r="AN104" t="str">
            <v>-</v>
          </cell>
        </row>
        <row r="105">
          <cell r="C105" t="str">
            <v>SBTB150530</v>
          </cell>
          <cell r="D105" t="str">
            <v>ORIXIMINÁ</v>
          </cell>
          <cell r="E105" t="str">
            <v>PA</v>
          </cell>
          <cell r="F105" t="str">
            <v>ü</v>
          </cell>
          <cell r="G105" t="str">
            <v>Adequação</v>
          </cell>
          <cell r="H105">
            <v>42460333.333333336</v>
          </cell>
          <cell r="I105">
            <v>42460333.333333336</v>
          </cell>
          <cell r="J105">
            <v>42460333.333333336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127381000</v>
          </cell>
          <cell r="AN105" t="str">
            <v>N</v>
          </cell>
        </row>
        <row r="106">
          <cell r="C106" t="str">
            <v>SBTC293250</v>
          </cell>
          <cell r="D106" t="str">
            <v>UNA</v>
          </cell>
          <cell r="E106" t="str">
            <v>BA</v>
          </cell>
          <cell r="F106" t="str">
            <v>ü</v>
          </cell>
          <cell r="G106" t="str">
            <v>Adequação</v>
          </cell>
          <cell r="H106">
            <v>24173333.333333332</v>
          </cell>
          <cell r="I106">
            <v>24173333.333333332</v>
          </cell>
          <cell r="J106">
            <v>24173333.333333332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72520000</v>
          </cell>
          <cell r="AN106" t="str">
            <v>-</v>
          </cell>
        </row>
        <row r="107">
          <cell r="C107" t="str">
            <v>SBTE221100</v>
          </cell>
          <cell r="D107" t="str">
            <v>TERESINA</v>
          </cell>
          <cell r="E107" t="str">
            <v>PI</v>
          </cell>
          <cell r="F107" t="str">
            <v>ü</v>
          </cell>
          <cell r="G107" t="str">
            <v>Adequação</v>
          </cell>
          <cell r="H107">
            <v>147531666.66666666</v>
          </cell>
          <cell r="I107">
            <v>147531666.66666666</v>
          </cell>
          <cell r="J107">
            <v>147531666.66666666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442595000</v>
          </cell>
          <cell r="AN107" t="str">
            <v>-</v>
          </cell>
        </row>
        <row r="108">
          <cell r="C108" t="str">
            <v>SBTF130420</v>
          </cell>
          <cell r="D108" t="str">
            <v>TEFÉ</v>
          </cell>
          <cell r="E108" t="str">
            <v>AM</v>
          </cell>
          <cell r="F108" t="str">
            <v>ü</v>
          </cell>
          <cell r="G108" t="str">
            <v>Adequação</v>
          </cell>
          <cell r="H108">
            <v>22373333.333333332</v>
          </cell>
          <cell r="I108">
            <v>22373333.333333332</v>
          </cell>
          <cell r="J108">
            <v>22373333.333333332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67120000</v>
          </cell>
          <cell r="AN108" t="str">
            <v>-</v>
          </cell>
        </row>
        <row r="109">
          <cell r="C109" t="str">
            <v>SBTG500830</v>
          </cell>
          <cell r="D109" t="str">
            <v>TRÊS LAGOAS</v>
          </cell>
          <cell r="E109" t="str">
            <v>MS</v>
          </cell>
          <cell r="F109" t="str">
            <v>ü</v>
          </cell>
          <cell r="G109" t="str">
            <v>Adequação</v>
          </cell>
          <cell r="H109">
            <v>29817500</v>
          </cell>
          <cell r="I109">
            <v>29817500</v>
          </cell>
          <cell r="J109">
            <v>29817500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89452500</v>
          </cell>
          <cell r="AN109" t="str">
            <v>NE e CO</v>
          </cell>
        </row>
        <row r="110">
          <cell r="C110" t="str">
            <v>SBTK120060</v>
          </cell>
          <cell r="D110" t="str">
            <v>TARAUACÁ</v>
          </cell>
          <cell r="E110" t="str">
            <v>AC</v>
          </cell>
          <cell r="F110" t="str">
            <v>ü</v>
          </cell>
          <cell r="G110" t="str">
            <v>Adequação</v>
          </cell>
          <cell r="H110">
            <v>21405833.333333332</v>
          </cell>
          <cell r="I110">
            <v>21405833.333333332</v>
          </cell>
          <cell r="J110">
            <v>21405833.333333332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64217500</v>
          </cell>
          <cell r="AN110" t="str">
            <v>N</v>
          </cell>
        </row>
        <row r="111">
          <cell r="C111" t="str">
            <v>SBTT130406</v>
          </cell>
          <cell r="D111" t="str">
            <v>TABATINGA</v>
          </cell>
          <cell r="E111" t="str">
            <v>AM</v>
          </cell>
          <cell r="F111" t="str">
            <v>ü</v>
          </cell>
          <cell r="G111" t="str">
            <v>Adequação</v>
          </cell>
          <cell r="H111">
            <v>13106666.666666666</v>
          </cell>
          <cell r="I111">
            <v>13106666.666666666</v>
          </cell>
          <cell r="J111">
            <v>13106666.666666666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39320000</v>
          </cell>
          <cell r="AN111" t="str">
            <v>-</v>
          </cell>
        </row>
        <row r="112">
          <cell r="C112" t="str">
            <v>SBTU150810</v>
          </cell>
          <cell r="D112" t="str">
            <v>TUCURUÍ</v>
          </cell>
          <cell r="E112" t="str">
            <v>PA</v>
          </cell>
          <cell r="F112" t="str">
            <v>ü</v>
          </cell>
          <cell r="G112" t="str">
            <v>Adequação</v>
          </cell>
          <cell r="H112">
            <v>54805166.666666664</v>
          </cell>
          <cell r="I112">
            <v>54805166.666666664</v>
          </cell>
          <cell r="J112">
            <v>54805166.666666664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164415500</v>
          </cell>
          <cell r="AN112" t="str">
            <v>N</v>
          </cell>
        </row>
        <row r="113">
          <cell r="C113" t="str">
            <v>SBUA130380</v>
          </cell>
          <cell r="D113" t="str">
            <v>SÃO GABRIEL DA CACHOEIRA</v>
          </cell>
          <cell r="E113" t="str">
            <v>AM</v>
          </cell>
          <cell r="F113" t="str">
            <v>ü</v>
          </cell>
          <cell r="G113" t="str">
            <v>Adequação</v>
          </cell>
          <cell r="H113">
            <v>47523500</v>
          </cell>
          <cell r="I113">
            <v>47523500</v>
          </cell>
          <cell r="J113">
            <v>47523500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142570500</v>
          </cell>
          <cell r="AN113" t="str">
            <v>N</v>
          </cell>
        </row>
        <row r="114">
          <cell r="C114" t="str">
            <v>SBUF292400</v>
          </cell>
          <cell r="D114" t="str">
            <v>PAULO AFONSO</v>
          </cell>
          <cell r="E114" t="str">
            <v>BA</v>
          </cell>
          <cell r="F114" t="str">
            <v>ü</v>
          </cell>
          <cell r="G114" t="str">
            <v>Adequação</v>
          </cell>
          <cell r="H114">
            <v>22530000</v>
          </cell>
          <cell r="I114">
            <v>22530000</v>
          </cell>
          <cell r="J114">
            <v>22530000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67590000</v>
          </cell>
          <cell r="AN114" t="str">
            <v>NE e CO</v>
          </cell>
        </row>
        <row r="115">
          <cell r="C115" t="str">
            <v>SBUG432240</v>
          </cell>
          <cell r="D115" t="str">
            <v>URUGUAIANA</v>
          </cell>
          <cell r="E115" t="str">
            <v>RS</v>
          </cell>
          <cell r="F115" t="str">
            <v>ü</v>
          </cell>
          <cell r="G115" t="str">
            <v>Adequação</v>
          </cell>
          <cell r="H115">
            <v>22771666.666666668</v>
          </cell>
          <cell r="I115">
            <v>22771666.666666668</v>
          </cell>
          <cell r="J115">
            <v>22771666.666666668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68315000</v>
          </cell>
          <cell r="AN115" t="str">
            <v>-</v>
          </cell>
        </row>
        <row r="116">
          <cell r="C116" t="str">
            <v>SBUL317020</v>
          </cell>
          <cell r="D116" t="str">
            <v>UBERLÂNDIA</v>
          </cell>
          <cell r="E116" t="str">
            <v>MG</v>
          </cell>
          <cell r="F116" t="str">
            <v>ü</v>
          </cell>
          <cell r="G116" t="str">
            <v>Adequação</v>
          </cell>
          <cell r="H116">
            <v>157275000</v>
          </cell>
          <cell r="I116">
            <v>157275000</v>
          </cell>
          <cell r="J116">
            <v>157275000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471825000</v>
          </cell>
          <cell r="AN116" t="str">
            <v>-</v>
          </cell>
        </row>
        <row r="117">
          <cell r="C117" t="str">
            <v>SBUR317010</v>
          </cell>
          <cell r="D117" t="str">
            <v>UBERABA</v>
          </cell>
          <cell r="E117" t="str">
            <v>MG</v>
          </cell>
          <cell r="F117" t="str">
            <v>ü</v>
          </cell>
          <cell r="G117" t="str">
            <v>Adequação</v>
          </cell>
          <cell r="H117">
            <v>25498333.333333332</v>
          </cell>
          <cell r="I117">
            <v>25498333.333333332</v>
          </cell>
          <cell r="J117">
            <v>25498333.333333332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76495000</v>
          </cell>
          <cell r="AN117" t="str">
            <v>-</v>
          </cell>
        </row>
        <row r="118">
          <cell r="C118" t="str">
            <v>SBVG317070</v>
          </cell>
          <cell r="D118" t="str">
            <v>VARGINHA</v>
          </cell>
          <cell r="E118" t="str">
            <v>MG</v>
          </cell>
          <cell r="F118" t="str">
            <v>ü</v>
          </cell>
          <cell r="G118" t="str">
            <v>Adequação</v>
          </cell>
          <cell r="H118">
            <v>41047500</v>
          </cell>
          <cell r="I118">
            <v>41047500</v>
          </cell>
          <cell r="J118">
            <v>41047500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123142500</v>
          </cell>
          <cell r="AN118" t="str">
            <v>S e SE</v>
          </cell>
        </row>
        <row r="119">
          <cell r="C119" t="str">
            <v>SBVH110030</v>
          </cell>
          <cell r="D119" t="str">
            <v>VILHENA</v>
          </cell>
          <cell r="E119" t="str">
            <v>RO</v>
          </cell>
          <cell r="F119" t="str">
            <v>ü</v>
          </cell>
          <cell r="G119" t="str">
            <v>Adequação</v>
          </cell>
          <cell r="H119">
            <v>54402833.333333336</v>
          </cell>
          <cell r="I119">
            <v>54402833.333333336</v>
          </cell>
          <cell r="J119">
            <v>54402833.333333336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163208500</v>
          </cell>
          <cell r="AN119" t="str">
            <v>N</v>
          </cell>
        </row>
        <row r="120">
          <cell r="C120" t="str">
            <v>SBVT320530</v>
          </cell>
          <cell r="D120" t="str">
            <v>VITÓRIA</v>
          </cell>
          <cell r="E120" t="str">
            <v>ES</v>
          </cell>
          <cell r="F120" t="str">
            <v>ü</v>
          </cell>
          <cell r="G120" t="str">
            <v>Adequação</v>
          </cell>
          <cell r="H120">
            <v>177481666.66666666</v>
          </cell>
          <cell r="I120">
            <v>177481666.66666666</v>
          </cell>
          <cell r="J120">
            <v>177481666.66666666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532445000</v>
          </cell>
          <cell r="AN120" t="str">
            <v>-</v>
          </cell>
        </row>
        <row r="121">
          <cell r="C121" t="str">
            <v>SBFE291080</v>
          </cell>
          <cell r="D121" t="str">
            <v>FEIRA DE SANTANA</v>
          </cell>
          <cell r="E121" t="str">
            <v>BA</v>
          </cell>
          <cell r="F121" t="str">
            <v>ü</v>
          </cell>
          <cell r="G121" t="str">
            <v>Adequação</v>
          </cell>
          <cell r="H121">
            <v>37425000</v>
          </cell>
          <cell r="I121">
            <v>37425000</v>
          </cell>
          <cell r="J121">
            <v>37425000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112275000</v>
          </cell>
          <cell r="AN121" t="str">
            <v>-</v>
          </cell>
        </row>
        <row r="122">
          <cell r="C122" t="str">
            <v>SJOG110002</v>
          </cell>
          <cell r="D122" t="str">
            <v>ARIQUEMES</v>
          </cell>
          <cell r="E122" t="str">
            <v>RO</v>
          </cell>
          <cell r="F122" t="str">
            <v>ü</v>
          </cell>
          <cell r="G122" t="str">
            <v>Adequação</v>
          </cell>
          <cell r="H122">
            <v>35301666.666666664</v>
          </cell>
          <cell r="I122">
            <v>35301666.666666664</v>
          </cell>
          <cell r="J122">
            <v>35301666.666666664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105905000</v>
          </cell>
          <cell r="AN122" t="str">
            <v>-</v>
          </cell>
        </row>
        <row r="123">
          <cell r="C123" t="str">
            <v>SNBN150170</v>
          </cell>
          <cell r="D123" t="str">
            <v>BRAGANÇA</v>
          </cell>
          <cell r="E123" t="str">
            <v>PA</v>
          </cell>
          <cell r="F123" t="str">
            <v>ü</v>
          </cell>
          <cell r="G123" t="str">
            <v>Adequação</v>
          </cell>
          <cell r="H123">
            <v>119927436.24666667</v>
          </cell>
          <cell r="I123">
            <v>119927436.24666667</v>
          </cell>
          <cell r="J123">
            <v>119927436.24666667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359782308.74000001</v>
          </cell>
          <cell r="AN123" t="str">
            <v>N</v>
          </cell>
        </row>
        <row r="124">
          <cell r="C124" t="str">
            <v>SNBR290320</v>
          </cell>
          <cell r="D124" t="str">
            <v>BARREIRAS</v>
          </cell>
          <cell r="E124" t="str">
            <v>BA</v>
          </cell>
          <cell r="F124" t="str">
            <v>ü</v>
          </cell>
          <cell r="G124" t="str">
            <v>Adequação</v>
          </cell>
          <cell r="H124">
            <v>46155000</v>
          </cell>
          <cell r="I124">
            <v>46155000</v>
          </cell>
          <cell r="J124">
            <v>46155000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138465000</v>
          </cell>
          <cell r="AN124" t="str">
            <v>-</v>
          </cell>
        </row>
        <row r="125">
          <cell r="C125" t="str">
            <v>SNDB150619</v>
          </cell>
          <cell r="D125" t="str">
            <v>RURÓPOLIS</v>
          </cell>
          <cell r="E125" t="str">
            <v>PA</v>
          </cell>
          <cell r="F125" t="str">
            <v>ü</v>
          </cell>
          <cell r="G125" t="str">
            <v>Adequação</v>
          </cell>
          <cell r="H125">
            <v>122556769.57999998</v>
          </cell>
          <cell r="I125">
            <v>122556769.57999998</v>
          </cell>
          <cell r="J125">
            <v>122556769.57999998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367670308.73999995</v>
          </cell>
          <cell r="AN125" t="str">
            <v>N</v>
          </cell>
        </row>
        <row r="126">
          <cell r="C126" t="str">
            <v>SNCZ315210</v>
          </cell>
          <cell r="D126" t="str">
            <v>PONTE NOVA</v>
          </cell>
          <cell r="E126" t="str">
            <v>MG</v>
          </cell>
          <cell r="F126" t="str">
            <v>ü</v>
          </cell>
          <cell r="G126" t="str">
            <v>Adequação</v>
          </cell>
          <cell r="H126">
            <v>31418333.333333332</v>
          </cell>
          <cell r="I126">
            <v>31418333.333333332</v>
          </cell>
          <cell r="J126">
            <v>31418333.333333332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94255000</v>
          </cell>
          <cell r="AN126" t="str">
            <v>-</v>
          </cell>
        </row>
        <row r="127">
          <cell r="C127" t="str">
            <v>SNLC150613</v>
          </cell>
          <cell r="D127" t="str">
            <v>REDENÇÃO</v>
          </cell>
          <cell r="E127" t="str">
            <v>PA</v>
          </cell>
          <cell r="F127" t="str">
            <v>ü</v>
          </cell>
          <cell r="G127" t="str">
            <v>Adequação</v>
          </cell>
          <cell r="H127">
            <v>14739000</v>
          </cell>
          <cell r="I127">
            <v>14739000</v>
          </cell>
          <cell r="J127">
            <v>14739000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44217000</v>
          </cell>
          <cell r="AN127" t="str">
            <v>N</v>
          </cell>
        </row>
        <row r="128">
          <cell r="C128" t="str">
            <v>SNDV312230</v>
          </cell>
          <cell r="D128" t="str">
            <v>DIVINÓPOLIS</v>
          </cell>
          <cell r="E128" t="str">
            <v>MG</v>
          </cell>
          <cell r="F128" t="str">
            <v>ü</v>
          </cell>
          <cell r="G128" t="str">
            <v>Adequação</v>
          </cell>
          <cell r="H128">
            <v>40020000</v>
          </cell>
          <cell r="I128">
            <v>40020000</v>
          </cell>
          <cell r="J128">
            <v>40020000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120060000</v>
          </cell>
          <cell r="AN128" t="str">
            <v>-</v>
          </cell>
        </row>
        <row r="129">
          <cell r="C129" t="str">
            <v>SNEB150550</v>
          </cell>
          <cell r="D129" t="str">
            <v>PARAGOMINAS</v>
          </cell>
          <cell r="E129" t="str">
            <v>PA</v>
          </cell>
          <cell r="F129" t="str">
            <v>ü</v>
          </cell>
          <cell r="G129" t="str">
            <v>Adequação</v>
          </cell>
          <cell r="H129">
            <v>59995833.333333328</v>
          </cell>
          <cell r="I129">
            <v>59995833.333333328</v>
          </cell>
          <cell r="J129">
            <v>59995833.333333328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179987500</v>
          </cell>
          <cell r="AN129" t="str">
            <v>N</v>
          </cell>
        </row>
        <row r="130">
          <cell r="C130" t="str">
            <v>SNFX150730</v>
          </cell>
          <cell r="D130" t="str">
            <v>SÃO FÉLIX DO XINGU</v>
          </cell>
          <cell r="E130" t="str">
            <v>PA</v>
          </cell>
          <cell r="F130" t="str">
            <v>ü</v>
          </cell>
          <cell r="G130" t="str">
            <v>Adequação</v>
          </cell>
          <cell r="H130">
            <v>15648500</v>
          </cell>
          <cell r="I130">
            <v>15648500</v>
          </cell>
          <cell r="J130">
            <v>15648500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46945500</v>
          </cell>
          <cell r="AN130" t="str">
            <v>N</v>
          </cell>
        </row>
        <row r="131">
          <cell r="C131" t="str">
            <v>SNGI291170</v>
          </cell>
          <cell r="D131" t="str">
            <v>GUANAMBI</v>
          </cell>
          <cell r="E131" t="str">
            <v>BA</v>
          </cell>
          <cell r="F131" t="str">
            <v>ü</v>
          </cell>
          <cell r="G131" t="str">
            <v>Adequação</v>
          </cell>
          <cell r="H131">
            <v>34962500</v>
          </cell>
          <cell r="I131">
            <v>34962500</v>
          </cell>
          <cell r="J131">
            <v>34962500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104887500</v>
          </cell>
          <cell r="AN131" t="str">
            <v>NE e CO</v>
          </cell>
        </row>
        <row r="132">
          <cell r="C132" t="str">
            <v>SNHS261390</v>
          </cell>
          <cell r="D132" t="str">
            <v>SERRA TALHADA</v>
          </cell>
          <cell r="E132" t="str">
            <v>PE</v>
          </cell>
          <cell r="F132" t="str">
            <v>ü</v>
          </cell>
          <cell r="G132" t="str">
            <v>Adequação</v>
          </cell>
          <cell r="H132">
            <v>13805000</v>
          </cell>
          <cell r="I132">
            <v>13805000</v>
          </cell>
          <cell r="J132">
            <v>13805000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41415000</v>
          </cell>
          <cell r="AN132" t="str">
            <v>NE e CO</v>
          </cell>
        </row>
        <row r="133">
          <cell r="C133" t="str">
            <v>SNIN150600</v>
          </cell>
          <cell r="D133" t="str">
            <v>PRAINHA</v>
          </cell>
          <cell r="E133" t="str">
            <v>PA</v>
          </cell>
          <cell r="F133" t="str">
            <v>ü</v>
          </cell>
          <cell r="G133" t="str">
            <v>Adequação</v>
          </cell>
          <cell r="H133">
            <v>72092217.399999991</v>
          </cell>
          <cell r="I133">
            <v>72092217.399999991</v>
          </cell>
          <cell r="J133">
            <v>72092217.399999991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216276652.19999999</v>
          </cell>
          <cell r="AN133" t="str">
            <v>-</v>
          </cell>
        </row>
        <row r="134">
          <cell r="C134" t="str">
            <v>SNIG230550</v>
          </cell>
          <cell r="D134" t="str">
            <v>IGUATU</v>
          </cell>
          <cell r="E134" t="str">
            <v>CE</v>
          </cell>
          <cell r="F134" t="str">
            <v>ü</v>
          </cell>
          <cell r="G134" t="str">
            <v>Adequação</v>
          </cell>
          <cell r="H134">
            <v>44886666.666666664</v>
          </cell>
          <cell r="I134">
            <v>44886666.666666664</v>
          </cell>
          <cell r="J134">
            <v>44886666.666666664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134660000</v>
          </cell>
          <cell r="AN134" t="str">
            <v>-</v>
          </cell>
        </row>
        <row r="135">
          <cell r="C135" t="str">
            <v>SNLN320320</v>
          </cell>
          <cell r="D135" t="str">
            <v>LINHARES</v>
          </cell>
          <cell r="E135" t="str">
            <v>ES</v>
          </cell>
          <cell r="F135" t="str">
            <v>ü</v>
          </cell>
          <cell r="G135" t="str">
            <v>Adequação</v>
          </cell>
          <cell r="H135">
            <v>25001666.666666668</v>
          </cell>
          <cell r="I135">
            <v>25001666.666666668</v>
          </cell>
          <cell r="J135">
            <v>25001666.666666668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75005000</v>
          </cell>
          <cell r="AN135" t="str">
            <v>-</v>
          </cell>
        </row>
        <row r="136">
          <cell r="C136" t="str">
            <v>SNMA150480</v>
          </cell>
          <cell r="D136" t="str">
            <v>MONTE ALEGRE</v>
          </cell>
          <cell r="E136" t="str">
            <v>PA</v>
          </cell>
          <cell r="F136" t="str">
            <v>ü</v>
          </cell>
          <cell r="G136" t="str">
            <v>Adequação</v>
          </cell>
          <cell r="H136">
            <v>10645000</v>
          </cell>
          <cell r="I136">
            <v>10645000</v>
          </cell>
          <cell r="J136">
            <v>10645000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31935000</v>
          </cell>
          <cell r="AN136" t="str">
            <v>-</v>
          </cell>
        </row>
        <row r="137">
          <cell r="C137" t="str">
            <v>SNOB231290</v>
          </cell>
          <cell r="D137" t="str">
            <v>SOBRAL</v>
          </cell>
          <cell r="E137" t="str">
            <v>CE</v>
          </cell>
          <cell r="F137" t="str">
            <v>ü</v>
          </cell>
          <cell r="G137" t="str">
            <v>Adequação</v>
          </cell>
          <cell r="H137">
            <v>30588333.333333332</v>
          </cell>
          <cell r="I137">
            <v>30588333.333333332</v>
          </cell>
          <cell r="J137">
            <v>30588333.333333332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91765000</v>
          </cell>
          <cell r="AN137" t="str">
            <v>-</v>
          </cell>
        </row>
        <row r="138">
          <cell r="C138" t="str">
            <v>SNPC220800</v>
          </cell>
          <cell r="D138" t="str">
            <v>PICOS</v>
          </cell>
          <cell r="E138" t="str">
            <v>PI</v>
          </cell>
          <cell r="F138" t="str">
            <v>ü</v>
          </cell>
          <cell r="G138" t="str">
            <v>Adequação</v>
          </cell>
          <cell r="H138">
            <v>12713333.333333334</v>
          </cell>
          <cell r="I138">
            <v>12713333.333333334</v>
          </cell>
          <cell r="J138">
            <v>12713333.333333334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38140000</v>
          </cell>
          <cell r="AN138" t="str">
            <v>-</v>
          </cell>
        </row>
        <row r="139">
          <cell r="C139" t="str">
            <v>SNRU260410</v>
          </cell>
          <cell r="D139" t="str">
            <v>CARUARU</v>
          </cell>
          <cell r="E139" t="str">
            <v>PE</v>
          </cell>
          <cell r="F139" t="str">
            <v>ü</v>
          </cell>
          <cell r="G139" t="str">
            <v>Adequação</v>
          </cell>
          <cell r="H139">
            <v>22506666.666666668</v>
          </cell>
          <cell r="I139">
            <v>22506666.666666668</v>
          </cell>
          <cell r="J139">
            <v>22506666.666666668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67520000</v>
          </cell>
          <cell r="AN139" t="str">
            <v>NE e CO</v>
          </cell>
        </row>
        <row r="140">
          <cell r="C140" t="str">
            <v>SNSS315700</v>
          </cell>
          <cell r="D140" t="str">
            <v>SALINAS</v>
          </cell>
          <cell r="E140" t="str">
            <v>MG</v>
          </cell>
          <cell r="F140" t="str">
            <v>ü</v>
          </cell>
          <cell r="G140" t="str">
            <v>Adequação</v>
          </cell>
          <cell r="H140">
            <v>29686666.666666668</v>
          </cell>
          <cell r="I140">
            <v>29686666.666666668</v>
          </cell>
          <cell r="J140">
            <v>29686666.666666668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89060000</v>
          </cell>
          <cell r="AN140" t="str">
            <v>-</v>
          </cell>
        </row>
        <row r="141">
          <cell r="C141" t="str">
            <v>SNTF293135</v>
          </cell>
          <cell r="D141" t="str">
            <v>TEIXEIRA DE FREITAS</v>
          </cell>
          <cell r="E141" t="str">
            <v>BA</v>
          </cell>
          <cell r="F141" t="str">
            <v>ü</v>
          </cell>
          <cell r="G141" t="str">
            <v>Adequação</v>
          </cell>
          <cell r="H141">
            <v>25400000</v>
          </cell>
          <cell r="I141">
            <v>25400000</v>
          </cell>
          <cell r="J141">
            <v>25400000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76200000</v>
          </cell>
          <cell r="AN141" t="str">
            <v>-</v>
          </cell>
        </row>
        <row r="142">
          <cell r="C142" t="str">
            <v>SNTI150510</v>
          </cell>
          <cell r="D142" t="str">
            <v>ÓBIDOS</v>
          </cell>
          <cell r="E142" t="str">
            <v>PA</v>
          </cell>
          <cell r="F142" t="str">
            <v>ü</v>
          </cell>
          <cell r="G142" t="str">
            <v>Adequação</v>
          </cell>
          <cell r="H142">
            <v>36660000</v>
          </cell>
          <cell r="I142">
            <v>36660000</v>
          </cell>
          <cell r="J142">
            <v>36660000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109980000</v>
          </cell>
          <cell r="AN142" t="str">
            <v>-</v>
          </cell>
        </row>
        <row r="143">
          <cell r="C143" t="str">
            <v>SNTS251080</v>
          </cell>
          <cell r="D143" t="str">
            <v>PATOS</v>
          </cell>
          <cell r="E143" t="str">
            <v>PB</v>
          </cell>
          <cell r="F143" t="str">
            <v>ü</v>
          </cell>
          <cell r="G143" t="str">
            <v>Adequação</v>
          </cell>
          <cell r="H143">
            <v>44383333.333333336</v>
          </cell>
          <cell r="I143">
            <v>44383333.333333336</v>
          </cell>
          <cell r="J143">
            <v>44383333.333333336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133150000</v>
          </cell>
          <cell r="AN143" t="str">
            <v>-</v>
          </cell>
        </row>
        <row r="144">
          <cell r="C144" t="str">
            <v>SNVS150180</v>
          </cell>
          <cell r="D144" t="str">
            <v>BREVES</v>
          </cell>
          <cell r="E144" t="str">
            <v>PA</v>
          </cell>
          <cell r="F144" t="str">
            <v>ü</v>
          </cell>
          <cell r="G144" t="str">
            <v>Adequação</v>
          </cell>
          <cell r="H144">
            <v>17269166.666666668</v>
          </cell>
          <cell r="I144">
            <v>17269166.666666668</v>
          </cell>
          <cell r="J144">
            <v>17269166.666666668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51807500</v>
          </cell>
          <cell r="AN144" t="str">
            <v>N</v>
          </cell>
        </row>
        <row r="145">
          <cell r="C145" t="str">
            <v>SNXW150250</v>
          </cell>
          <cell r="D145" t="str">
            <v>CHAVES</v>
          </cell>
          <cell r="E145" t="str">
            <v>PA</v>
          </cell>
          <cell r="F145" t="str">
            <v>ü</v>
          </cell>
          <cell r="G145" t="str">
            <v>Adequação</v>
          </cell>
          <cell r="H145">
            <v>122556769.57999998</v>
          </cell>
          <cell r="I145">
            <v>122556769.57999998</v>
          </cell>
          <cell r="J145">
            <v>122556769.57999998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367670308.73999995</v>
          </cell>
          <cell r="AN145" t="str">
            <v>N</v>
          </cell>
        </row>
        <row r="146">
          <cell r="C146" t="str">
            <v>SNZA315250</v>
          </cell>
          <cell r="D146" t="str">
            <v>POUSO ALEGRE</v>
          </cell>
          <cell r="E146" t="str">
            <v>MG</v>
          </cell>
          <cell r="F146" t="str">
            <v>ü</v>
          </cell>
          <cell r="G146" t="str">
            <v>Adequação</v>
          </cell>
          <cell r="H146">
            <v>38809333.333333336</v>
          </cell>
          <cell r="I146">
            <v>38809333.333333336</v>
          </cell>
          <cell r="J146">
            <v>38809333.333333336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116428000</v>
          </cell>
          <cell r="AN146" t="str">
            <v>S e SE</v>
          </cell>
        </row>
        <row r="147">
          <cell r="C147" t="str">
            <v>SNZR314700</v>
          </cell>
          <cell r="D147" t="str">
            <v>PARACATU</v>
          </cell>
          <cell r="E147" t="str">
            <v>MG</v>
          </cell>
          <cell r="F147" t="str">
            <v>ü</v>
          </cell>
          <cell r="G147" t="str">
            <v>Adequação</v>
          </cell>
          <cell r="H147">
            <v>12365000</v>
          </cell>
          <cell r="I147">
            <v>12365000</v>
          </cell>
          <cell r="J147">
            <v>12365000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37095000</v>
          </cell>
          <cell r="AN147" t="str">
            <v>-</v>
          </cell>
        </row>
        <row r="148">
          <cell r="C148" t="str">
            <v>SBGU410940</v>
          </cell>
          <cell r="D148" t="str">
            <v>GUARAPUAVA</v>
          </cell>
          <cell r="E148" t="str">
            <v>PR</v>
          </cell>
          <cell r="F148" t="str">
            <v>ü</v>
          </cell>
          <cell r="G148" t="str">
            <v>Adequação</v>
          </cell>
          <cell r="H148">
            <v>31371166.666666668</v>
          </cell>
          <cell r="I148">
            <v>31371166.666666668</v>
          </cell>
          <cell r="J148">
            <v>31371166.666666668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94113500</v>
          </cell>
          <cell r="AN148" t="str">
            <v>S e SE</v>
          </cell>
        </row>
        <row r="149">
          <cell r="C149" t="str">
            <v>SSKW110004</v>
          </cell>
          <cell r="D149" t="str">
            <v>CACOAL</v>
          </cell>
          <cell r="E149" t="str">
            <v>RO</v>
          </cell>
          <cell r="F149" t="str">
            <v>ü</v>
          </cell>
          <cell r="G149" t="str">
            <v>Adequação</v>
          </cell>
          <cell r="H149">
            <v>39879166.666666664</v>
          </cell>
          <cell r="I149">
            <v>39879166.666666664</v>
          </cell>
          <cell r="J149">
            <v>39879166.666666664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119637500</v>
          </cell>
          <cell r="AN149" t="str">
            <v>N</v>
          </cell>
        </row>
        <row r="150">
          <cell r="C150" t="str">
            <v>N513510140</v>
          </cell>
          <cell r="D150" t="str">
            <v>ARIPUANÃ</v>
          </cell>
          <cell r="E150" t="str">
            <v>MT</v>
          </cell>
          <cell r="F150" t="str">
            <v>ü</v>
          </cell>
          <cell r="G150" t="str">
            <v>Adequação</v>
          </cell>
          <cell r="H150">
            <v>20622500</v>
          </cell>
          <cell r="I150">
            <v>20622500</v>
          </cell>
          <cell r="J150">
            <v>20622500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61867500</v>
          </cell>
          <cell r="AN150" t="str">
            <v>NE e CO</v>
          </cell>
        </row>
        <row r="151">
          <cell r="C151" t="str">
            <v>SBVC293330</v>
          </cell>
          <cell r="D151" t="str">
            <v>VITÓRIA DA CONQUISTA</v>
          </cell>
          <cell r="E151" t="str">
            <v>BA</v>
          </cell>
          <cell r="F151" t="str">
            <v>ü</v>
          </cell>
          <cell r="G151" t="str">
            <v>Adequação</v>
          </cell>
          <cell r="H151">
            <v>79121666.666666672</v>
          </cell>
          <cell r="I151">
            <v>79121666.666666672</v>
          </cell>
          <cell r="J151">
            <v>79121666.666666672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237365000</v>
          </cell>
          <cell r="AN151" t="str">
            <v>-</v>
          </cell>
        </row>
        <row r="152">
          <cell r="C152" t="str">
            <v>SWBR130080</v>
          </cell>
          <cell r="D152" t="str">
            <v>BORBA</v>
          </cell>
          <cell r="E152" t="str">
            <v>AM</v>
          </cell>
          <cell r="F152" t="str">
            <v>ü</v>
          </cell>
          <cell r="G152" t="str">
            <v>Adequação</v>
          </cell>
          <cell r="H152">
            <v>18025666.666666668</v>
          </cell>
          <cell r="I152">
            <v>18025666.666666668</v>
          </cell>
          <cell r="J152">
            <v>18025666.666666668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54077000</v>
          </cell>
          <cell r="AN152" t="str">
            <v>N</v>
          </cell>
        </row>
        <row r="153">
          <cell r="C153" t="str">
            <v>SWCA130100</v>
          </cell>
          <cell r="D153" t="str">
            <v>CARAUARI</v>
          </cell>
          <cell r="E153" t="str">
            <v>AM</v>
          </cell>
          <cell r="F153" t="str">
            <v>ü</v>
          </cell>
          <cell r="G153" t="str">
            <v>Adequação</v>
          </cell>
          <cell r="H153">
            <v>21907333.333333332</v>
          </cell>
          <cell r="I153">
            <v>21907333.333333332</v>
          </cell>
          <cell r="J153">
            <v>21907333.333333332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65722000</v>
          </cell>
          <cell r="AN153" t="str">
            <v>N</v>
          </cell>
        </row>
        <row r="154">
          <cell r="C154" t="str">
            <v>SWEI130140</v>
          </cell>
          <cell r="D154" t="str">
            <v>EIRUNEPÉ</v>
          </cell>
          <cell r="E154" t="str">
            <v>AM</v>
          </cell>
          <cell r="F154" t="str">
            <v>ü</v>
          </cell>
          <cell r="G154" t="str">
            <v>Adequação</v>
          </cell>
          <cell r="H154">
            <v>12367500</v>
          </cell>
          <cell r="I154">
            <v>12367500</v>
          </cell>
          <cell r="J154">
            <v>12367500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37102500</v>
          </cell>
          <cell r="AN154" t="str">
            <v>N</v>
          </cell>
        </row>
        <row r="155">
          <cell r="C155" t="str">
            <v>SWEK510270</v>
          </cell>
          <cell r="D155" t="str">
            <v>CANARANA</v>
          </cell>
          <cell r="E155" t="str">
            <v>MT</v>
          </cell>
          <cell r="F155" t="str">
            <v>ü</v>
          </cell>
          <cell r="G155" t="str">
            <v>Adequação</v>
          </cell>
          <cell r="H155">
            <v>29264563.02</v>
          </cell>
          <cell r="I155">
            <v>29264563.02</v>
          </cell>
          <cell r="J155">
            <v>29264563.02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87793689.060000002</v>
          </cell>
          <cell r="AN155" t="str">
            <v>NE e CO</v>
          </cell>
        </row>
        <row r="156">
          <cell r="C156" t="str">
            <v>SWGN170210</v>
          </cell>
          <cell r="D156" t="str">
            <v>ARAGUAÍNA</v>
          </cell>
          <cell r="E156" t="str">
            <v>TO</v>
          </cell>
          <cell r="F156" t="str">
            <v>ü</v>
          </cell>
          <cell r="G156" t="str">
            <v>Adequação</v>
          </cell>
          <cell r="H156">
            <v>32387500</v>
          </cell>
          <cell r="I156">
            <v>32387500</v>
          </cell>
          <cell r="J156">
            <v>32387500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97162500</v>
          </cell>
          <cell r="AN156" t="str">
            <v>NE e CO</v>
          </cell>
        </row>
        <row r="157">
          <cell r="C157" t="str">
            <v>SWJN510515</v>
          </cell>
          <cell r="D157" t="str">
            <v>JUÍNA</v>
          </cell>
          <cell r="E157" t="str">
            <v>MT</v>
          </cell>
          <cell r="F157" t="str">
            <v>ü</v>
          </cell>
          <cell r="G157" t="str">
            <v>Adequação</v>
          </cell>
          <cell r="H157">
            <v>3517500</v>
          </cell>
          <cell r="I157">
            <v>3517500</v>
          </cell>
          <cell r="J157">
            <v>3517500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10552500</v>
          </cell>
          <cell r="AN157" t="str">
            <v>NE e CO</v>
          </cell>
        </row>
        <row r="158">
          <cell r="C158" t="str">
            <v>SWKC510250</v>
          </cell>
          <cell r="D158" t="str">
            <v>CÁCERES</v>
          </cell>
          <cell r="E158" t="str">
            <v>MT</v>
          </cell>
          <cell r="F158" t="str">
            <v>ü</v>
          </cell>
          <cell r="G158" t="str">
            <v>Adequação</v>
          </cell>
          <cell r="H158">
            <v>9862500</v>
          </cell>
          <cell r="I158">
            <v>9862500</v>
          </cell>
          <cell r="J158">
            <v>9862500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29587500</v>
          </cell>
          <cell r="AN158" t="str">
            <v>NE e CO</v>
          </cell>
        </row>
        <row r="159">
          <cell r="C159" t="str">
            <v>SWKO130120</v>
          </cell>
          <cell r="D159" t="str">
            <v>COARI</v>
          </cell>
          <cell r="E159" t="str">
            <v>AM</v>
          </cell>
          <cell r="F159" t="str">
            <v>ü</v>
          </cell>
          <cell r="G159" t="str">
            <v>Adequação</v>
          </cell>
          <cell r="H159">
            <v>17558333.333333332</v>
          </cell>
          <cell r="I159">
            <v>17558333.333333332</v>
          </cell>
          <cell r="J159">
            <v>17558333.333333332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52675000</v>
          </cell>
          <cell r="AN159" t="str">
            <v>-</v>
          </cell>
        </row>
        <row r="160">
          <cell r="C160" t="str">
            <v>SWKQ221060</v>
          </cell>
          <cell r="D160" t="str">
            <v>SÃO RAIMUNDO NONATO</v>
          </cell>
          <cell r="E160" t="str">
            <v>PI</v>
          </cell>
          <cell r="F160" t="str">
            <v>ü</v>
          </cell>
          <cell r="G160" t="str">
            <v>Adequação</v>
          </cell>
          <cell r="H160">
            <v>4842500</v>
          </cell>
          <cell r="I160">
            <v>4842500</v>
          </cell>
          <cell r="J160">
            <v>4842500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14527500</v>
          </cell>
          <cell r="AN160" t="str">
            <v>NE e CO</v>
          </cell>
        </row>
        <row r="161">
          <cell r="C161" t="str">
            <v>SWLB130240</v>
          </cell>
          <cell r="D161" t="str">
            <v>LÁBREA</v>
          </cell>
          <cell r="E161" t="str">
            <v>AM</v>
          </cell>
          <cell r="F161" t="str">
            <v>ü</v>
          </cell>
          <cell r="G161" t="str">
            <v>Adequação</v>
          </cell>
          <cell r="H161">
            <v>18762333.333333332</v>
          </cell>
          <cell r="I161">
            <v>18762333.333333332</v>
          </cell>
          <cell r="J161">
            <v>18762333.333333332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56287000</v>
          </cell>
          <cell r="AN161" t="str">
            <v>N</v>
          </cell>
        </row>
        <row r="162">
          <cell r="C162" t="str">
            <v>SWLC521880</v>
          </cell>
          <cell r="D162" t="str">
            <v>RIO VERDE</v>
          </cell>
          <cell r="E162" t="str">
            <v>GO</v>
          </cell>
          <cell r="F162" t="str">
            <v>ü</v>
          </cell>
          <cell r="G162" t="str">
            <v>Adequação</v>
          </cell>
          <cell r="H162">
            <v>39932500</v>
          </cell>
          <cell r="I162">
            <v>39932500</v>
          </cell>
          <cell r="J162">
            <v>39932500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119797500</v>
          </cell>
          <cell r="AN162" t="str">
            <v>NE e CO</v>
          </cell>
        </row>
        <row r="163">
          <cell r="C163" t="str">
            <v>SWMW130290</v>
          </cell>
          <cell r="D163" t="str">
            <v>MAUÉS</v>
          </cell>
          <cell r="E163" t="str">
            <v>AM</v>
          </cell>
          <cell r="F163" t="str">
            <v>ü</v>
          </cell>
          <cell r="G163" t="str">
            <v>Adequação</v>
          </cell>
          <cell r="H163">
            <v>4737333.333333333</v>
          </cell>
          <cell r="I163">
            <v>4737333.333333333</v>
          </cell>
          <cell r="J163">
            <v>4737333.333333333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14212000</v>
          </cell>
          <cell r="AN163" t="str">
            <v>N</v>
          </cell>
        </row>
        <row r="164">
          <cell r="C164" t="str">
            <v>SWPI130340</v>
          </cell>
          <cell r="D164" t="str">
            <v>PARINTINS</v>
          </cell>
          <cell r="E164" t="str">
            <v>AM</v>
          </cell>
          <cell r="F164" t="str">
            <v>ü</v>
          </cell>
          <cell r="G164" t="str">
            <v>Adequação</v>
          </cell>
          <cell r="H164">
            <v>38207500</v>
          </cell>
          <cell r="I164">
            <v>38207500</v>
          </cell>
          <cell r="J164">
            <v>38207500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114622500</v>
          </cell>
          <cell r="AN164" t="str">
            <v>N</v>
          </cell>
        </row>
        <row r="165">
          <cell r="C165" t="str">
            <v>SWTS510795</v>
          </cell>
          <cell r="D165" t="str">
            <v>TANGARÁ DA SERRA</v>
          </cell>
          <cell r="E165" t="str">
            <v>MT</v>
          </cell>
          <cell r="F165" t="str">
            <v>ü</v>
          </cell>
          <cell r="G165" t="str">
            <v>Adequação</v>
          </cell>
          <cell r="H165">
            <v>18640000</v>
          </cell>
          <cell r="I165">
            <v>18640000</v>
          </cell>
          <cell r="J165">
            <v>18640000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55920000</v>
          </cell>
          <cell r="AN165" t="str">
            <v>NE e CO</v>
          </cell>
        </row>
        <row r="166">
          <cell r="C166" t="str">
            <v>SWUA522020</v>
          </cell>
          <cell r="D166" t="str">
            <v>SÃO MIGUEL DO ARAGUAIA</v>
          </cell>
          <cell r="E166" t="str">
            <v>GO</v>
          </cell>
          <cell r="F166" t="str">
            <v>ü</v>
          </cell>
          <cell r="G166" t="str">
            <v>Adequação</v>
          </cell>
          <cell r="H166">
            <v>18342500</v>
          </cell>
          <cell r="I166">
            <v>18342500</v>
          </cell>
          <cell r="J166">
            <v>18342500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55027500</v>
          </cell>
          <cell r="AN166" t="str">
            <v>NE e CO</v>
          </cell>
        </row>
        <row r="167">
          <cell r="C167" t="str">
            <v>SWWK130430</v>
          </cell>
          <cell r="D167" t="str">
            <v>URUCARÁ</v>
          </cell>
          <cell r="E167" t="str">
            <v>AM</v>
          </cell>
          <cell r="F167" t="str">
            <v>ü</v>
          </cell>
          <cell r="G167" t="str">
            <v>Adequação</v>
          </cell>
          <cell r="H167">
            <v>34495338.089333333</v>
          </cell>
          <cell r="I167">
            <v>34495338.089333333</v>
          </cell>
          <cell r="J167">
            <v>34495338.089333333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103486014.26800001</v>
          </cell>
          <cell r="AN167" t="str">
            <v>N</v>
          </cell>
        </row>
        <row r="168">
          <cell r="C168" t="str">
            <v>N275270450</v>
          </cell>
          <cell r="D168" t="str">
            <v>MARAGOGI</v>
          </cell>
          <cell r="E168" t="str">
            <v>AL</v>
          </cell>
          <cell r="F168" t="str">
            <v>ü</v>
          </cell>
          <cell r="G168" t="str">
            <v>Adequação</v>
          </cell>
          <cell r="H168">
            <v>141265771.94999999</v>
          </cell>
          <cell r="I168">
            <v>141265771.94999999</v>
          </cell>
          <cell r="J168">
            <v>141265771.94999999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423797315.84999996</v>
          </cell>
          <cell r="AN168" t="str">
            <v>NE e CO</v>
          </cell>
        </row>
        <row r="169">
          <cell r="C169" t="str">
            <v>N707171270</v>
          </cell>
          <cell r="D169" t="str">
            <v>MATEIROS</v>
          </cell>
          <cell r="E169" t="str">
            <v>TO</v>
          </cell>
          <cell r="F169" t="str">
            <v>ü</v>
          </cell>
          <cell r="G169" t="str">
            <v>Adequação</v>
          </cell>
          <cell r="H169">
            <v>101518326.09999999</v>
          </cell>
          <cell r="I169">
            <v>101518326.09999999</v>
          </cell>
          <cell r="J169">
            <v>101518326.09999999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304554978.29999995</v>
          </cell>
          <cell r="AN169" t="str">
            <v>NE e CO</v>
          </cell>
        </row>
        <row r="170">
          <cell r="C170" t="str">
            <v>SDXF520060</v>
          </cell>
          <cell r="D170" t="str">
            <v>ALTO PARAÍSO DE GOIÁS</v>
          </cell>
          <cell r="E170" t="str">
            <v>GO</v>
          </cell>
          <cell r="F170" t="str">
            <v>ü</v>
          </cell>
          <cell r="G170" t="str">
            <v>Adequação</v>
          </cell>
          <cell r="H170">
            <v>18147500</v>
          </cell>
          <cell r="I170">
            <v>18147500</v>
          </cell>
          <cell r="J170">
            <v>18147500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54442500</v>
          </cell>
          <cell r="AN170" t="str">
            <v>NE e CO</v>
          </cell>
        </row>
        <row r="171">
          <cell r="C171" t="str">
            <v>SBST351870</v>
          </cell>
          <cell r="D171" t="str">
            <v>GUARUJÁ</v>
          </cell>
          <cell r="E171" t="str">
            <v>SP</v>
          </cell>
          <cell r="F171" t="str">
            <v>ü</v>
          </cell>
          <cell r="G171" t="str">
            <v>Adequação</v>
          </cell>
          <cell r="H171">
            <v>48115166.666666664</v>
          </cell>
          <cell r="I171">
            <v>48115166.666666664</v>
          </cell>
          <cell r="J171">
            <v>48115166.666666664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144345500</v>
          </cell>
          <cell r="AN171" t="str">
            <v>S e SE</v>
          </cell>
        </row>
        <row r="172">
          <cell r="C172" t="str">
            <v>SDAG330010</v>
          </cell>
          <cell r="D172" t="str">
            <v>ANGRA DOS REIS</v>
          </cell>
          <cell r="E172" t="str">
            <v>RJ</v>
          </cell>
          <cell r="F172" t="str">
            <v>ü</v>
          </cell>
          <cell r="G172" t="str">
            <v>Adequação</v>
          </cell>
          <cell r="H172">
            <v>22730000</v>
          </cell>
          <cell r="I172">
            <v>22730000</v>
          </cell>
          <cell r="J172">
            <v>22730000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68190000</v>
          </cell>
          <cell r="AN172" t="str">
            <v>-</v>
          </cell>
        </row>
        <row r="173">
          <cell r="C173" t="str">
            <v>SDUB355540</v>
          </cell>
          <cell r="D173" t="str">
            <v>UBATUBA</v>
          </cell>
          <cell r="E173" t="str">
            <v>SP</v>
          </cell>
          <cell r="F173" t="str">
            <v>ü</v>
          </cell>
          <cell r="G173" t="str">
            <v>Adequação</v>
          </cell>
          <cell r="H173">
            <v>24455000</v>
          </cell>
          <cell r="I173">
            <v>24455000</v>
          </cell>
          <cell r="J173">
            <v>24455000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73365000</v>
          </cell>
          <cell r="AN173" t="str">
            <v>-</v>
          </cell>
        </row>
        <row r="174">
          <cell r="C174" t="str">
            <v>SNOS314790</v>
          </cell>
          <cell r="D174" t="str">
            <v>PASSOS</v>
          </cell>
          <cell r="E174" t="str">
            <v>MG</v>
          </cell>
          <cell r="F174" t="str">
            <v>ü</v>
          </cell>
          <cell r="G174" t="str">
            <v>Adequação</v>
          </cell>
          <cell r="H174">
            <v>29480000</v>
          </cell>
          <cell r="I174">
            <v>29480000</v>
          </cell>
          <cell r="J174">
            <v>29480000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88440000</v>
          </cell>
          <cell r="AN174" t="str">
            <v>-</v>
          </cell>
        </row>
        <row r="175">
          <cell r="C175" t="str">
            <v>SNSM150620</v>
          </cell>
          <cell r="D175" t="str">
            <v>SALINÓPOLIS</v>
          </cell>
          <cell r="E175" t="str">
            <v>PA</v>
          </cell>
          <cell r="F175" t="str">
            <v>ü</v>
          </cell>
          <cell r="G175" t="str">
            <v>Adequação</v>
          </cell>
          <cell r="H175">
            <v>51626166.666666664</v>
          </cell>
          <cell r="I175">
            <v>51626166.666666664</v>
          </cell>
          <cell r="J175">
            <v>51626166.666666664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154878500</v>
          </cell>
          <cell r="AN175" t="str">
            <v>N</v>
          </cell>
        </row>
        <row r="176">
          <cell r="C176" t="str">
            <v>SSRS210170</v>
          </cell>
          <cell r="D176" t="str">
            <v>BARREIRINHAS</v>
          </cell>
          <cell r="E176" t="str">
            <v>MA</v>
          </cell>
          <cell r="F176" t="str">
            <v>ü</v>
          </cell>
          <cell r="G176" t="str">
            <v>Adequação</v>
          </cell>
          <cell r="H176">
            <v>26945000</v>
          </cell>
          <cell r="I176">
            <v>26945000</v>
          </cell>
          <cell r="J176">
            <v>26945000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80835000</v>
          </cell>
          <cell r="AN176" t="str">
            <v>NE e CO</v>
          </cell>
        </row>
        <row r="177">
          <cell r="C177" t="str">
            <v>N920290860</v>
          </cell>
          <cell r="D177" t="str">
            <v>CONDE</v>
          </cell>
          <cell r="E177" t="str">
            <v>BA</v>
          </cell>
          <cell r="F177" t="str">
            <v>ü</v>
          </cell>
          <cell r="G177" t="str">
            <v>Adequação</v>
          </cell>
          <cell r="H177">
            <v>29117063.020000003</v>
          </cell>
          <cell r="I177">
            <v>29117063.020000003</v>
          </cell>
          <cell r="J177">
            <v>29117063.020000003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87351189.060000002</v>
          </cell>
          <cell r="AN177" t="str">
            <v>NE e CO</v>
          </cell>
        </row>
        <row r="178">
          <cell r="C178" t="str">
            <v>SBBH310620</v>
          </cell>
          <cell r="D178" t="str">
            <v>Belo Horizonte - Pampulha</v>
          </cell>
          <cell r="E178" t="str">
            <v>MG</v>
          </cell>
          <cell r="F178" t="str">
            <v>ü</v>
          </cell>
          <cell r="G178" t="str">
            <v>Adequação</v>
          </cell>
          <cell r="H178">
            <v>15575601.304385141</v>
          </cell>
          <cell r="I178">
            <v>15575601.304385141</v>
          </cell>
          <cell r="J178">
            <v>15575601.304385141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46726803.913155422</v>
          </cell>
          <cell r="AN178" t="str">
            <v>-</v>
          </cell>
        </row>
        <row r="179">
          <cell r="C179" t="str">
            <v>SBBI410690</v>
          </cell>
          <cell r="D179" t="str">
            <v>Curitiba - Bacacheri</v>
          </cell>
          <cell r="E179" t="str">
            <v>PR</v>
          </cell>
          <cell r="F179" t="str">
            <v>ü</v>
          </cell>
          <cell r="G179" t="str">
            <v>Adequação</v>
          </cell>
          <cell r="H179">
            <v>5730944.2025315305</v>
          </cell>
          <cell r="I179">
            <v>5730944.2025315305</v>
          </cell>
          <cell r="J179">
            <v>5730944.2025315305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17192832.607594591</v>
          </cell>
          <cell r="AN179" t="str">
            <v>-</v>
          </cell>
        </row>
        <row r="180">
          <cell r="C180" t="str">
            <v>SBBP350760</v>
          </cell>
          <cell r="D180" t="str">
            <v>Bragança Paulista</v>
          </cell>
          <cell r="E180" t="str">
            <v>SP</v>
          </cell>
          <cell r="F180" t="str">
            <v>ü</v>
          </cell>
          <cell r="G180" t="str">
            <v>Adequação</v>
          </cell>
          <cell r="H180">
            <v>6382391.8220995283</v>
          </cell>
          <cell r="I180">
            <v>6382391.8220995283</v>
          </cell>
          <cell r="J180">
            <v>6382391.8220995283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19147175.466298584</v>
          </cell>
          <cell r="AN180" t="str">
            <v>-</v>
          </cell>
        </row>
        <row r="181">
          <cell r="C181" t="str">
            <v>SBEK150375</v>
          </cell>
          <cell r="D181" t="str">
            <v>Jacareacanga</v>
          </cell>
          <cell r="E181" t="str">
            <v>PA</v>
          </cell>
          <cell r="F181" t="str">
            <v>ü</v>
          </cell>
          <cell r="G181" t="str">
            <v>Adequação</v>
          </cell>
          <cell r="H181">
            <v>15768954.419660168</v>
          </cell>
          <cell r="I181">
            <v>15768954.419660168</v>
          </cell>
          <cell r="J181">
            <v>15768954.419660168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47306863.258980505</v>
          </cell>
          <cell r="AN181" t="str">
            <v>N</v>
          </cell>
        </row>
        <row r="182">
          <cell r="C182" t="str">
            <v>SBJD352590</v>
          </cell>
          <cell r="D182" t="str">
            <v>Jundiaí</v>
          </cell>
          <cell r="E182" t="str">
            <v>SP</v>
          </cell>
          <cell r="F182" t="str">
            <v>ü</v>
          </cell>
          <cell r="G182" t="str">
            <v>Adequação</v>
          </cell>
          <cell r="H182">
            <v>7025823.2855860004</v>
          </cell>
          <cell r="I182">
            <v>7025823.2855860004</v>
          </cell>
          <cell r="J182">
            <v>7025823.2855860004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21077469.856758002</v>
          </cell>
          <cell r="AN182" t="str">
            <v>-</v>
          </cell>
        </row>
        <row r="183">
          <cell r="C183" t="str">
            <v>SBJH355060</v>
          </cell>
          <cell r="D183" t="str">
            <v>São Roque</v>
          </cell>
          <cell r="E183" t="str">
            <v>SP</v>
          </cell>
          <cell r="F183" t="str">
            <v>ü</v>
          </cell>
          <cell r="G183" t="str">
            <v>Adequação</v>
          </cell>
          <cell r="H183">
            <v>9776051.911691511</v>
          </cell>
          <cell r="I183">
            <v>9776051.911691511</v>
          </cell>
          <cell r="J183">
            <v>9776051.911691511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29328155.735074535</v>
          </cell>
          <cell r="AN183" t="str">
            <v>-</v>
          </cell>
        </row>
        <row r="184">
          <cell r="C184" t="str">
            <v>SDMC330270</v>
          </cell>
          <cell r="D184" t="str">
            <v>Maricá</v>
          </cell>
          <cell r="E184" t="str">
            <v>RJ</v>
          </cell>
          <cell r="F184" t="str">
            <v>ü</v>
          </cell>
          <cell r="G184" t="str">
            <v>Adequação</v>
          </cell>
          <cell r="H184">
            <v>4686321.0225514742</v>
          </cell>
          <cell r="I184">
            <v>4686321.0225514742</v>
          </cell>
          <cell r="J184">
            <v>4686321.0225514742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14058963.067654423</v>
          </cell>
          <cell r="AN184" t="str">
            <v>-</v>
          </cell>
        </row>
        <row r="185">
          <cell r="C185" t="str">
            <v>SWNV520870</v>
          </cell>
          <cell r="D185" t="str">
            <v>Goiânia - Nacional de Aviação</v>
          </cell>
          <cell r="E185" t="str">
            <v>GO</v>
          </cell>
          <cell r="F185" t="str">
            <v>ü</v>
          </cell>
          <cell r="G185" t="str">
            <v>Adequação</v>
          </cell>
          <cell r="H185">
            <v>5385494.5541005554</v>
          </cell>
          <cell r="I185">
            <v>5385494.5541005554</v>
          </cell>
          <cell r="J185">
            <v>5385494.5541005554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16156483.662301667</v>
          </cell>
          <cell r="AN185" t="str">
            <v>-</v>
          </cell>
        </row>
        <row r="186">
          <cell r="C186" t="str">
            <v>SD8C130180</v>
          </cell>
          <cell r="D186" t="str">
            <v>Ipixuna</v>
          </cell>
          <cell r="E186" t="str">
            <v>AM</v>
          </cell>
          <cell r="F186" t="str">
            <v>ü</v>
          </cell>
          <cell r="G186" t="str">
            <v>Adequação</v>
          </cell>
          <cell r="H186">
            <v>6118385.4881545892</v>
          </cell>
          <cell r="I186">
            <v>6118385.4881545892</v>
          </cell>
          <cell r="J186">
            <v>6118385.4881545892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18355156.464463767</v>
          </cell>
          <cell r="AN186" t="str">
            <v>N</v>
          </cell>
        </row>
        <row r="187">
          <cell r="C187" t="str">
            <v>SDAI350160</v>
          </cell>
          <cell r="D187" t="str">
            <v>Americana</v>
          </cell>
          <cell r="E187" t="str">
            <v>SP</v>
          </cell>
          <cell r="F187" t="str">
            <v>ü</v>
          </cell>
          <cell r="G187" t="str">
            <v>Adequação</v>
          </cell>
          <cell r="H187">
            <v>6573315.8281181771</v>
          </cell>
          <cell r="I187">
            <v>6573315.8281181771</v>
          </cell>
          <cell r="J187">
            <v>6573315.8281181771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19719947.484354533</v>
          </cell>
          <cell r="AN187" t="str">
            <v>S e SE</v>
          </cell>
        </row>
        <row r="188">
          <cell r="C188" t="str">
            <v>SDAM350950</v>
          </cell>
          <cell r="D188" t="str">
            <v>Campinas - Amarais</v>
          </cell>
          <cell r="E188" t="str">
            <v>SP</v>
          </cell>
          <cell r="F188" t="str">
            <v>ü</v>
          </cell>
          <cell r="G188" t="str">
            <v>Adequação</v>
          </cell>
          <cell r="H188">
            <v>9846523.5225631986</v>
          </cell>
          <cell r="I188">
            <v>9846523.5225631986</v>
          </cell>
          <cell r="J188">
            <v>9846523.5225631986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29539570.567689598</v>
          </cell>
          <cell r="AN188" t="str">
            <v>-</v>
          </cell>
        </row>
        <row r="189">
          <cell r="C189" t="str">
            <v>SDC8130210</v>
          </cell>
          <cell r="D189" t="str">
            <v>Japurá</v>
          </cell>
          <cell r="E189" t="str">
            <v>AM</v>
          </cell>
          <cell r="F189" t="str">
            <v>ü</v>
          </cell>
          <cell r="G189" t="str">
            <v>Adequação</v>
          </cell>
          <cell r="H189">
            <v>9317734.2331545874</v>
          </cell>
          <cell r="I189">
            <v>9317734.2331545874</v>
          </cell>
          <cell r="J189">
            <v>9317734.2331545874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27953202.699463762</v>
          </cell>
          <cell r="AN189" t="str">
            <v>N</v>
          </cell>
        </row>
        <row r="190">
          <cell r="C190" t="str">
            <v>SDCG130390</v>
          </cell>
          <cell r="D190" t="str">
            <v>São Paulo de Olivença</v>
          </cell>
          <cell r="E190" t="str">
            <v>AM</v>
          </cell>
          <cell r="F190" t="str">
            <v>ü</v>
          </cell>
          <cell r="G190" t="str">
            <v>Adequação</v>
          </cell>
          <cell r="H190">
            <v>8658015.3578212559</v>
          </cell>
          <cell r="I190">
            <v>8658015.3578212559</v>
          </cell>
          <cell r="J190">
            <v>8658015.3578212559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25974046.073463768</v>
          </cell>
          <cell r="AN190" t="str">
            <v>N</v>
          </cell>
        </row>
        <row r="191">
          <cell r="C191" t="str">
            <v>SDCO355220</v>
          </cell>
          <cell r="D191" t="str">
            <v>Sorocaba</v>
          </cell>
          <cell r="E191" t="str">
            <v>SP</v>
          </cell>
          <cell r="F191" t="str">
            <v>ü</v>
          </cell>
          <cell r="G191" t="str">
            <v>Adequação</v>
          </cell>
          <cell r="H191">
            <v>13045442.266365595</v>
          </cell>
          <cell r="I191">
            <v>13045442.266365595</v>
          </cell>
          <cell r="J191">
            <v>13045442.266365595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39136326.799096785</v>
          </cell>
          <cell r="AN191" t="str">
            <v>-</v>
          </cell>
        </row>
        <row r="192">
          <cell r="C192" t="str">
            <v>SDFD351550</v>
          </cell>
          <cell r="D192" t="str">
            <v>Fernandópolis</v>
          </cell>
          <cell r="E192" t="str">
            <v>SP</v>
          </cell>
          <cell r="F192" t="str">
            <v>ü</v>
          </cell>
          <cell r="G192" t="str">
            <v>Adequação</v>
          </cell>
          <cell r="H192">
            <v>4650173.2664184375</v>
          </cell>
          <cell r="I192">
            <v>4650173.2664184375</v>
          </cell>
          <cell r="J192">
            <v>4650173.2664184375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13950519.799255311</v>
          </cell>
          <cell r="AN192" t="str">
            <v>-</v>
          </cell>
        </row>
        <row r="193">
          <cell r="C193" t="str">
            <v>SDH2510677</v>
          </cell>
          <cell r="D193" t="str">
            <v>Porto Alegre do Norte</v>
          </cell>
          <cell r="E193" t="str">
            <v>MT</v>
          </cell>
          <cell r="F193" t="str">
            <v>ü</v>
          </cell>
          <cell r="G193" t="str">
            <v>Adequação</v>
          </cell>
          <cell r="H193">
            <v>8093097.0999957174</v>
          </cell>
          <cell r="I193">
            <v>8093097.0999957174</v>
          </cell>
          <cell r="J193">
            <v>8093097.0999957174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24279291.299987152</v>
          </cell>
          <cell r="AN193" t="str">
            <v>NE e CO</v>
          </cell>
        </row>
        <row r="194">
          <cell r="C194" t="str">
            <v>SDIG351960</v>
          </cell>
          <cell r="D194" t="str">
            <v>Ibitinga</v>
          </cell>
          <cell r="E194" t="str">
            <v>SP</v>
          </cell>
          <cell r="F194" t="str">
            <v>ü</v>
          </cell>
          <cell r="G194" t="str">
            <v>Adequação</v>
          </cell>
          <cell r="H194">
            <v>6525760.4572733482</v>
          </cell>
          <cell r="I194">
            <v>6525760.4572733482</v>
          </cell>
          <cell r="J194">
            <v>6525760.4572733482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19577281.371820044</v>
          </cell>
          <cell r="AN194" t="str">
            <v>S e SE</v>
          </cell>
        </row>
        <row r="195">
          <cell r="C195" t="str">
            <v>SDJO354940</v>
          </cell>
          <cell r="D195" t="str">
            <v>São Joaquim da Barra</v>
          </cell>
          <cell r="E195" t="str">
            <v>SP</v>
          </cell>
          <cell r="F195" t="str">
            <v>ü</v>
          </cell>
          <cell r="G195" t="str">
            <v>Adequação</v>
          </cell>
          <cell r="H195">
            <v>5708529.997865364</v>
          </cell>
          <cell r="I195">
            <v>5708529.997865364</v>
          </cell>
          <cell r="J195">
            <v>5708529.997865364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17125589.993596092</v>
          </cell>
          <cell r="AN195" t="str">
            <v>-</v>
          </cell>
        </row>
        <row r="196">
          <cell r="C196" t="str">
            <v>SDLR130410</v>
          </cell>
          <cell r="D196" t="str">
            <v>Tapauá</v>
          </cell>
          <cell r="E196" t="str">
            <v>AM</v>
          </cell>
          <cell r="F196" t="str">
            <v>ü</v>
          </cell>
          <cell r="G196" t="str">
            <v>Adequação</v>
          </cell>
          <cell r="H196">
            <v>8333790.5531545905</v>
          </cell>
          <cell r="I196">
            <v>8333790.5531545905</v>
          </cell>
          <cell r="J196">
            <v>8333790.5531545905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25001371.659463771</v>
          </cell>
          <cell r="AN196" t="str">
            <v>N</v>
          </cell>
        </row>
        <row r="197">
          <cell r="C197" t="str">
            <v>SDMJ353080</v>
          </cell>
          <cell r="D197" t="str">
            <v>Mogi Mirim</v>
          </cell>
          <cell r="E197" t="str">
            <v>SP</v>
          </cell>
          <cell r="F197" t="str">
            <v>ü</v>
          </cell>
          <cell r="G197" t="str">
            <v>Adequação</v>
          </cell>
          <cell r="H197">
            <v>8627597.2905599959</v>
          </cell>
          <cell r="I197">
            <v>8627597.2905599959</v>
          </cell>
          <cell r="J197">
            <v>8627597.2905599959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25882791.871679988</v>
          </cell>
          <cell r="AN197" t="str">
            <v>S e SE</v>
          </cell>
        </row>
        <row r="198">
          <cell r="C198" t="str">
            <v>SSMH120035</v>
          </cell>
          <cell r="D198" t="str">
            <v>Marechal Thaumaturgo</v>
          </cell>
          <cell r="E198" t="str">
            <v>AC</v>
          </cell>
          <cell r="F198" t="str">
            <v>ü</v>
          </cell>
          <cell r="G198" t="str">
            <v>Adequação</v>
          </cell>
          <cell r="H198">
            <v>7049628.1529999999</v>
          </cell>
          <cell r="I198">
            <v>7049628.1529999999</v>
          </cell>
          <cell r="J198">
            <v>7049628.1529999999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21148884.458999999</v>
          </cell>
          <cell r="AN198" t="str">
            <v>N</v>
          </cell>
        </row>
        <row r="199">
          <cell r="C199" t="str">
            <v>SDPW353870</v>
          </cell>
          <cell r="D199" t="str">
            <v>Piracicaba</v>
          </cell>
          <cell r="E199" t="str">
            <v>SP</v>
          </cell>
          <cell r="F199" t="str">
            <v>ü</v>
          </cell>
          <cell r="G199" t="str">
            <v>Adequação</v>
          </cell>
          <cell r="H199">
            <v>8783733.3499441873</v>
          </cell>
          <cell r="I199">
            <v>8783733.3499441873</v>
          </cell>
          <cell r="J199">
            <v>8783733.3499441873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26351200.04983256</v>
          </cell>
          <cell r="AN199" t="str">
            <v>S e SE</v>
          </cell>
        </row>
        <row r="200">
          <cell r="C200" t="str">
            <v>SDTB350410</v>
          </cell>
          <cell r="D200" t="str">
            <v>Atibaia</v>
          </cell>
          <cell r="E200" t="str">
            <v>SP</v>
          </cell>
          <cell r="F200" t="str">
            <v>ü</v>
          </cell>
          <cell r="G200" t="str">
            <v>Adequação</v>
          </cell>
          <cell r="H200">
            <v>5141357.8197324788</v>
          </cell>
          <cell r="I200">
            <v>5141357.8197324788</v>
          </cell>
          <cell r="J200">
            <v>5141357.8197324788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15424073.459197436</v>
          </cell>
          <cell r="AN200" t="str">
            <v>-</v>
          </cell>
        </row>
        <row r="201">
          <cell r="C201" t="str">
            <v>SDVG355710</v>
          </cell>
          <cell r="D201" t="str">
            <v>Votuporanga</v>
          </cell>
          <cell r="E201" t="str">
            <v>SP</v>
          </cell>
          <cell r="F201" t="str">
            <v>ü</v>
          </cell>
          <cell r="G201" t="str">
            <v>Adequação</v>
          </cell>
          <cell r="H201">
            <v>7270661.0710819988</v>
          </cell>
          <cell r="I201">
            <v>7270661.0710819988</v>
          </cell>
          <cell r="J201">
            <v>7270661.0710819988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21811983.213245995</v>
          </cell>
          <cell r="AN201" t="str">
            <v>-</v>
          </cell>
        </row>
        <row r="202">
          <cell r="C202" t="str">
            <v>SJNP150503</v>
          </cell>
          <cell r="D202" t="str">
            <v>Novo Progresso</v>
          </cell>
          <cell r="E202" t="str">
            <v>PA</v>
          </cell>
          <cell r="F202" t="str">
            <v>ü</v>
          </cell>
          <cell r="G202" t="str">
            <v>Adequação</v>
          </cell>
          <cell r="H202">
            <v>14261496.532715702</v>
          </cell>
          <cell r="I202">
            <v>14261496.532715702</v>
          </cell>
          <cell r="J202">
            <v>14261496.532715702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42784489.598147109</v>
          </cell>
          <cell r="AN202" t="str">
            <v>N</v>
          </cell>
        </row>
        <row r="203">
          <cell r="C203" t="str">
            <v>SJOD120032</v>
          </cell>
          <cell r="D203" t="str">
            <v>Jordão</v>
          </cell>
          <cell r="E203" t="str">
            <v>AC</v>
          </cell>
          <cell r="F203" t="str">
            <v>ü</v>
          </cell>
          <cell r="G203" t="str">
            <v>Adequação</v>
          </cell>
          <cell r="H203">
            <v>6784944.9651545882</v>
          </cell>
          <cell r="I203">
            <v>6784944.9651545882</v>
          </cell>
          <cell r="J203">
            <v>6784944.9651545882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20354834.895463765</v>
          </cell>
          <cell r="AN203" t="str">
            <v>N</v>
          </cell>
        </row>
        <row r="204">
          <cell r="C204" t="str">
            <v>SNAB260110</v>
          </cell>
          <cell r="D204" t="str">
            <v>Araripina</v>
          </cell>
          <cell r="E204" t="str">
            <v>PE</v>
          </cell>
          <cell r="F204" t="str">
            <v>ü</v>
          </cell>
          <cell r="G204" t="str">
            <v>Adequação</v>
          </cell>
          <cell r="H204">
            <v>8477489.6469364166</v>
          </cell>
          <cell r="I204">
            <v>8477489.6469364166</v>
          </cell>
          <cell r="J204">
            <v>8477489.6469364166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25432468.94080925</v>
          </cell>
          <cell r="AN204" t="str">
            <v>NE e CO</v>
          </cell>
        </row>
        <row r="205">
          <cell r="C205" t="str">
            <v>SNAG310350</v>
          </cell>
          <cell r="D205" t="str">
            <v>Araguari</v>
          </cell>
          <cell r="E205" t="str">
            <v>MG</v>
          </cell>
          <cell r="F205" t="str">
            <v>ü</v>
          </cell>
          <cell r="G205" t="str">
            <v>Adequação</v>
          </cell>
          <cell r="H205">
            <v>7249935.3388828905</v>
          </cell>
          <cell r="I205">
            <v>7249935.3388828905</v>
          </cell>
          <cell r="J205">
            <v>7249935.3388828905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21749806.016648673</v>
          </cell>
          <cell r="AN205" t="str">
            <v>-</v>
          </cell>
        </row>
        <row r="206">
          <cell r="C206" t="str">
            <v>SNBC210160</v>
          </cell>
          <cell r="D206" t="str">
            <v>Barra do Corda</v>
          </cell>
          <cell r="E206" t="str">
            <v>MA</v>
          </cell>
          <cell r="F206" t="str">
            <v>ü</v>
          </cell>
          <cell r="G206" t="str">
            <v>Adequação</v>
          </cell>
          <cell r="H206">
            <v>6421686.3672469808</v>
          </cell>
          <cell r="I206">
            <v>6421686.3672469808</v>
          </cell>
          <cell r="J206">
            <v>6421686.3672469808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19265059.101740941</v>
          </cell>
          <cell r="AN206" t="str">
            <v>-</v>
          </cell>
        </row>
        <row r="207">
          <cell r="C207" t="str">
            <v>SNBI210120</v>
          </cell>
          <cell r="D207" t="str">
            <v>Bacabal</v>
          </cell>
          <cell r="E207" t="str">
            <v>MA</v>
          </cell>
          <cell r="F207" t="str">
            <v>ü</v>
          </cell>
          <cell r="G207" t="str">
            <v>Adequação</v>
          </cell>
          <cell r="H207">
            <v>13311873.64624523</v>
          </cell>
          <cell r="I207">
            <v>13311873.64624523</v>
          </cell>
          <cell r="J207">
            <v>13311873.64624523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39935620.938735694</v>
          </cell>
          <cell r="AN207" t="str">
            <v>NE e CO</v>
          </cell>
        </row>
        <row r="208">
          <cell r="C208" t="str">
            <v>SNBS210140</v>
          </cell>
          <cell r="D208" t="str">
            <v>Balsas</v>
          </cell>
          <cell r="E208" t="str">
            <v>MA</v>
          </cell>
          <cell r="F208" t="str">
            <v>ü</v>
          </cell>
          <cell r="G208" t="str">
            <v>Adequação</v>
          </cell>
          <cell r="H208">
            <v>9720393.1727319174</v>
          </cell>
          <cell r="I208">
            <v>9720393.1727319174</v>
          </cell>
          <cell r="J208">
            <v>9720393.1727319174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29161179.518195752</v>
          </cell>
          <cell r="AN208" t="str">
            <v>NE e CO</v>
          </cell>
        </row>
        <row r="209">
          <cell r="C209" t="str">
            <v>SNGA320240</v>
          </cell>
          <cell r="D209" t="str">
            <v>Guarapari</v>
          </cell>
          <cell r="E209" t="str">
            <v>ES</v>
          </cell>
          <cell r="F209" t="str">
            <v>ü</v>
          </cell>
          <cell r="G209" t="str">
            <v>Adequação</v>
          </cell>
          <cell r="H209">
            <v>5301139.4174192306</v>
          </cell>
          <cell r="I209">
            <v>5301139.4174192306</v>
          </cell>
          <cell r="J209">
            <v>5301139.4174192306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15903418.252257692</v>
          </cell>
          <cell r="AN209" t="str">
            <v>-</v>
          </cell>
        </row>
        <row r="210">
          <cell r="C210" t="str">
            <v>SNGG220190</v>
          </cell>
          <cell r="D210" t="str">
            <v>Bom Jesus</v>
          </cell>
          <cell r="E210" t="str">
            <v>PI</v>
          </cell>
          <cell r="F210" t="str">
            <v>ü</v>
          </cell>
          <cell r="G210" t="str">
            <v>Adequação</v>
          </cell>
          <cell r="H210">
            <v>4807669.4633151405</v>
          </cell>
          <cell r="I210">
            <v>4807669.4633151405</v>
          </cell>
          <cell r="J210">
            <v>4807669.4633151405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14423008.389945421</v>
          </cell>
          <cell r="AN210" t="str">
            <v>-</v>
          </cell>
        </row>
        <row r="211">
          <cell r="C211" t="str">
            <v>SNGN260600</v>
          </cell>
          <cell r="D211" t="str">
            <v>Garanhuns</v>
          </cell>
          <cell r="E211" t="str">
            <v>PE</v>
          </cell>
          <cell r="F211" t="str">
            <v>ü</v>
          </cell>
          <cell r="G211" t="str">
            <v>Adequação</v>
          </cell>
          <cell r="H211">
            <v>8890881.0359826591</v>
          </cell>
          <cell r="I211">
            <v>8890881.0359826591</v>
          </cell>
          <cell r="J211">
            <v>8890881.0359826591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26672643.107947975</v>
          </cell>
          <cell r="AN211" t="str">
            <v>NE e CO</v>
          </cell>
        </row>
        <row r="212">
          <cell r="C212" t="str">
            <v>SNMZ150590</v>
          </cell>
          <cell r="D212" t="str">
            <v>Porto de Moz</v>
          </cell>
          <cell r="E212" t="str">
            <v>PA</v>
          </cell>
          <cell r="F212" t="str">
            <v>ü</v>
          </cell>
          <cell r="G212" t="str">
            <v>Adequação</v>
          </cell>
          <cell r="H212">
            <v>10295771.540000001</v>
          </cell>
          <cell r="I212">
            <v>10295771.540000001</v>
          </cell>
          <cell r="J212">
            <v>10295771.540000001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30887314.620000005</v>
          </cell>
          <cell r="AN212" t="str">
            <v>N</v>
          </cell>
        </row>
        <row r="213">
          <cell r="C213" t="str">
            <v>SNOX150530</v>
          </cell>
          <cell r="D213" t="str">
            <v>Oriximiná</v>
          </cell>
          <cell r="E213" t="str">
            <v>PA</v>
          </cell>
          <cell r="F213" t="str">
            <v>ü</v>
          </cell>
          <cell r="G213" t="str">
            <v>Adequação</v>
          </cell>
          <cell r="H213">
            <v>13497472.779000001</v>
          </cell>
          <cell r="I213">
            <v>13497472.779000001</v>
          </cell>
          <cell r="J213">
            <v>13497472.779000001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40492418.337000005</v>
          </cell>
          <cell r="AN213" t="str">
            <v>N</v>
          </cell>
        </row>
        <row r="214">
          <cell r="C214" t="str">
            <v>SNPA314710</v>
          </cell>
          <cell r="D214" t="str">
            <v>Pará de Minas</v>
          </cell>
          <cell r="E214" t="str">
            <v>MG</v>
          </cell>
          <cell r="F214" t="str">
            <v>ü</v>
          </cell>
          <cell r="G214" t="str">
            <v>Adequação</v>
          </cell>
          <cell r="H214">
            <v>6785322.3128527291</v>
          </cell>
          <cell r="I214">
            <v>6785322.3128527291</v>
          </cell>
          <cell r="J214">
            <v>6785322.3128527291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20355966.938558187</v>
          </cell>
          <cell r="AN214" t="str">
            <v>-</v>
          </cell>
        </row>
        <row r="215">
          <cell r="C215" t="str">
            <v>SNPD314800</v>
          </cell>
          <cell r="D215" t="str">
            <v>Patos de Minas</v>
          </cell>
          <cell r="E215" t="str">
            <v>MG</v>
          </cell>
          <cell r="F215" t="str">
            <v>ü</v>
          </cell>
          <cell r="G215" t="str">
            <v>Adequação</v>
          </cell>
          <cell r="H215">
            <v>8891466.7404508647</v>
          </cell>
          <cell r="I215">
            <v>8891466.7404508647</v>
          </cell>
          <cell r="J215">
            <v>8891466.7404508647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26674400.221352592</v>
          </cell>
          <cell r="AN215" t="str">
            <v>S e SE</v>
          </cell>
        </row>
        <row r="216">
          <cell r="C216" t="str">
            <v>SNRH130150</v>
          </cell>
          <cell r="D216" t="str">
            <v>Envira</v>
          </cell>
          <cell r="E216" t="str">
            <v>AM</v>
          </cell>
          <cell r="F216" t="str">
            <v>ü</v>
          </cell>
          <cell r="G216" t="str">
            <v>Adequação</v>
          </cell>
          <cell r="H216">
            <v>8820763.254154589</v>
          </cell>
          <cell r="I216">
            <v>8820763.254154589</v>
          </cell>
          <cell r="J216">
            <v>8820763.254154589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26462289.762463767</v>
          </cell>
          <cell r="AN216" t="str">
            <v>N</v>
          </cell>
        </row>
        <row r="217">
          <cell r="C217" t="str">
            <v>SNTO316860</v>
          </cell>
          <cell r="D217" t="str">
            <v>Teófilo Otoni</v>
          </cell>
          <cell r="E217" t="str">
            <v>MG</v>
          </cell>
          <cell r="F217" t="str">
            <v>ü</v>
          </cell>
          <cell r="G217" t="str">
            <v>Adequação</v>
          </cell>
          <cell r="H217">
            <v>6791903.1957745664</v>
          </cell>
          <cell r="I217">
            <v>6791903.1957745664</v>
          </cell>
          <cell r="J217">
            <v>6791903.1957745664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20375709.587323699</v>
          </cell>
          <cell r="AN217" t="str">
            <v>S e SE</v>
          </cell>
        </row>
        <row r="218">
          <cell r="C218" t="str">
            <v>SNXQ293360</v>
          </cell>
          <cell r="D218" t="str">
            <v>Xique-Xique</v>
          </cell>
          <cell r="E218" t="str">
            <v>BA</v>
          </cell>
          <cell r="F218" t="str">
            <v>ü</v>
          </cell>
          <cell r="G218" t="str">
            <v>Adequação</v>
          </cell>
          <cell r="H218">
            <v>5582190.5384207768</v>
          </cell>
          <cell r="I218">
            <v>5582190.5384207768</v>
          </cell>
          <cell r="J218">
            <v>5582190.5384207768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16746571.61526233</v>
          </cell>
          <cell r="AN218" t="str">
            <v>-</v>
          </cell>
        </row>
        <row r="219">
          <cell r="C219" t="str">
            <v>SNYA150050</v>
          </cell>
          <cell r="D219" t="str">
            <v>Almeirim</v>
          </cell>
          <cell r="E219" t="str">
            <v>PA</v>
          </cell>
          <cell r="F219" t="str">
            <v>ü</v>
          </cell>
          <cell r="G219" t="str">
            <v>Adequação</v>
          </cell>
          <cell r="H219">
            <v>12371243.653427742</v>
          </cell>
          <cell r="I219">
            <v>12371243.653427742</v>
          </cell>
          <cell r="J219">
            <v>12371243.653427742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37113730.960283227</v>
          </cell>
          <cell r="AN219" t="str">
            <v>N</v>
          </cell>
        </row>
        <row r="220">
          <cell r="C220" t="str">
            <v>SSBL420240</v>
          </cell>
          <cell r="D220" t="str">
            <v>Blumenau</v>
          </cell>
          <cell r="E220" t="str">
            <v>SC</v>
          </cell>
          <cell r="F220" t="str">
            <v>ü</v>
          </cell>
          <cell r="G220" t="str">
            <v>Adequação</v>
          </cell>
          <cell r="H220">
            <v>5928142.8998803571</v>
          </cell>
          <cell r="I220">
            <v>5928142.8998803571</v>
          </cell>
          <cell r="J220">
            <v>5928142.8998803571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17784428.699641071</v>
          </cell>
          <cell r="AN220" t="str">
            <v>-</v>
          </cell>
        </row>
        <row r="221">
          <cell r="C221" t="str">
            <v>SSBN431490</v>
          </cell>
          <cell r="D221" t="str">
            <v>Porto Alegre - Belém Novo</v>
          </cell>
          <cell r="E221" t="str">
            <v>RS</v>
          </cell>
          <cell r="F221" t="str">
            <v>ü</v>
          </cell>
          <cell r="G221" t="str">
            <v>Adequação</v>
          </cell>
          <cell r="H221">
            <v>6760291.9568077223</v>
          </cell>
          <cell r="I221">
            <v>6760291.9568077223</v>
          </cell>
          <cell r="J221">
            <v>6760291.9568077223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20280875.870423168</v>
          </cell>
          <cell r="AN221" t="str">
            <v>-</v>
          </cell>
        </row>
        <row r="222">
          <cell r="C222" t="str">
            <v>SSCN430440</v>
          </cell>
          <cell r="D222" t="str">
            <v>Canela</v>
          </cell>
          <cell r="E222" t="str">
            <v>RS</v>
          </cell>
          <cell r="F222" t="str">
            <v>ü</v>
          </cell>
          <cell r="G222" t="str">
            <v>Adequação</v>
          </cell>
          <cell r="H222">
            <v>4781651.629017341</v>
          </cell>
          <cell r="I222">
            <v>4781651.629017341</v>
          </cell>
          <cell r="J222">
            <v>4781651.629017341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14344954.887052022</v>
          </cell>
          <cell r="AN222" t="str">
            <v>S e SE</v>
          </cell>
        </row>
        <row r="223">
          <cell r="C223" t="str">
            <v>SSGB410960</v>
          </cell>
          <cell r="D223" t="str">
            <v>Guaratuba</v>
          </cell>
          <cell r="E223" t="str">
            <v>PR</v>
          </cell>
          <cell r="F223" t="str">
            <v>ü</v>
          </cell>
          <cell r="G223" t="str">
            <v>Adequação</v>
          </cell>
          <cell r="H223">
            <v>3807480.7349960799</v>
          </cell>
          <cell r="I223">
            <v>3807480.7349960799</v>
          </cell>
          <cell r="J223">
            <v>3807480.7349960799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11422442.204988239</v>
          </cell>
          <cell r="AN223" t="str">
            <v>-</v>
          </cell>
        </row>
        <row r="224">
          <cell r="C224" t="str">
            <v>SSGY410880</v>
          </cell>
          <cell r="D224" t="str">
            <v>Guaíra</v>
          </cell>
          <cell r="E224" t="str">
            <v>PR</v>
          </cell>
          <cell r="F224" t="str">
            <v>ü</v>
          </cell>
          <cell r="G224" t="str">
            <v>Adequação</v>
          </cell>
          <cell r="H224">
            <v>8162539.6468786132</v>
          </cell>
          <cell r="I224">
            <v>8162539.6468786132</v>
          </cell>
          <cell r="J224">
            <v>8162539.6468786132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24487618.940635838</v>
          </cell>
          <cell r="AN224" t="str">
            <v>S e SE</v>
          </cell>
        </row>
        <row r="225">
          <cell r="C225" t="str">
            <v>SSIE500270</v>
          </cell>
          <cell r="D225" t="str">
            <v>Campo Grande - Teruel Ipanema Estância</v>
          </cell>
          <cell r="E225" t="str">
            <v>MS</v>
          </cell>
          <cell r="F225" t="str">
            <v>ü</v>
          </cell>
          <cell r="G225" t="str">
            <v>Adequação</v>
          </cell>
          <cell r="H225">
            <v>9573584.7836976554</v>
          </cell>
          <cell r="I225">
            <v>9573584.7836976554</v>
          </cell>
          <cell r="J225">
            <v>9573584.7836976554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28720754.351092964</v>
          </cell>
          <cell r="AN225" t="str">
            <v>-</v>
          </cell>
        </row>
        <row r="226">
          <cell r="C226" t="str">
            <v>SSKG500270</v>
          </cell>
          <cell r="D226" t="str">
            <v>Campo Grande - Estância Santa Maria</v>
          </cell>
          <cell r="E226" t="str">
            <v>MS</v>
          </cell>
          <cell r="F226" t="str">
            <v>ü</v>
          </cell>
          <cell r="G226" t="str">
            <v>Adequação</v>
          </cell>
          <cell r="H226">
            <v>9324355.6429444365</v>
          </cell>
          <cell r="I226">
            <v>9324355.6429444365</v>
          </cell>
          <cell r="J226">
            <v>9324355.6429444365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27973066.92883331</v>
          </cell>
          <cell r="AN226" t="str">
            <v>-</v>
          </cell>
        </row>
        <row r="227">
          <cell r="C227" t="str">
            <v>SSLT430040</v>
          </cell>
          <cell r="D227" t="str">
            <v>Alegrete</v>
          </cell>
          <cell r="E227" t="str">
            <v>RS</v>
          </cell>
          <cell r="F227" t="str">
            <v>ü</v>
          </cell>
          <cell r="G227" t="str">
            <v>Adequação</v>
          </cell>
          <cell r="H227">
            <v>6639757.7913583815</v>
          </cell>
          <cell r="I227">
            <v>6639757.7913583815</v>
          </cell>
          <cell r="J227">
            <v>6639757.7913583815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19919273.374075145</v>
          </cell>
          <cell r="AN227" t="str">
            <v>S e SE</v>
          </cell>
        </row>
        <row r="228">
          <cell r="C228" t="str">
            <v>SSNG431240</v>
          </cell>
          <cell r="D228" t="str">
            <v>Montenegro</v>
          </cell>
          <cell r="E228" t="str">
            <v>RS</v>
          </cell>
          <cell r="F228" t="str">
            <v>ü</v>
          </cell>
          <cell r="G228" t="str">
            <v>Adequação</v>
          </cell>
          <cell r="H228">
            <v>4379794.4365603914</v>
          </cell>
          <cell r="I228">
            <v>4379794.4365603914</v>
          </cell>
          <cell r="J228">
            <v>4379794.4365603914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13139383.309681173</v>
          </cell>
          <cell r="AN228" t="str">
            <v>-</v>
          </cell>
        </row>
        <row r="229">
          <cell r="C229" t="str">
            <v>SSNH431340</v>
          </cell>
          <cell r="D229" t="str">
            <v>Novo Hamburgo</v>
          </cell>
          <cell r="E229" t="str">
            <v>RS</v>
          </cell>
          <cell r="F229" t="str">
            <v>ü</v>
          </cell>
          <cell r="G229" t="str">
            <v>Adequação</v>
          </cell>
          <cell r="H229">
            <v>4852858.5640428672</v>
          </cell>
          <cell r="I229">
            <v>4852858.5640428672</v>
          </cell>
          <cell r="J229">
            <v>4852858.5640428672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14558575.692128602</v>
          </cell>
          <cell r="AN229" t="str">
            <v>-</v>
          </cell>
        </row>
        <row r="230">
          <cell r="C230" t="str">
            <v>SSRA120043</v>
          </cell>
          <cell r="D230" t="str">
            <v>Santa Rosa do Purus</v>
          </cell>
          <cell r="E230" t="str">
            <v>AC</v>
          </cell>
          <cell r="F230" t="str">
            <v>ü</v>
          </cell>
          <cell r="G230" t="str">
            <v>Adequação</v>
          </cell>
          <cell r="H230">
            <v>9080668.8421545886</v>
          </cell>
          <cell r="I230">
            <v>9080668.8421545886</v>
          </cell>
          <cell r="J230">
            <v>9080668.8421545886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27242006.526463766</v>
          </cell>
          <cell r="AN230" t="str">
            <v>N</v>
          </cell>
        </row>
        <row r="231">
          <cell r="C231" t="str">
            <v>SSSC431680</v>
          </cell>
          <cell r="D231" t="str">
            <v>Santa Cruz do Sul</v>
          </cell>
          <cell r="E231" t="str">
            <v>RS</v>
          </cell>
          <cell r="F231" t="str">
            <v>ü</v>
          </cell>
          <cell r="G231" t="str">
            <v>Adequação</v>
          </cell>
          <cell r="H231">
            <v>6261655.8396705203</v>
          </cell>
          <cell r="I231">
            <v>6261655.8396705203</v>
          </cell>
          <cell r="J231">
            <v>6261655.8396705203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18784967.519011561</v>
          </cell>
          <cell r="AN231" t="str">
            <v>S e SE</v>
          </cell>
        </row>
        <row r="232">
          <cell r="C232" t="str">
            <v>SSSM130195</v>
          </cell>
          <cell r="D232" t="str">
            <v>Itamarati</v>
          </cell>
          <cell r="E232" t="str">
            <v>AM</v>
          </cell>
          <cell r="F232" t="str">
            <v>ü</v>
          </cell>
          <cell r="G232" t="str">
            <v>Adequação</v>
          </cell>
          <cell r="H232">
            <v>8326309.2951545883</v>
          </cell>
          <cell r="I232">
            <v>8326309.2951545883</v>
          </cell>
          <cell r="J232">
            <v>8326309.2951545883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24978927.885463767</v>
          </cell>
          <cell r="AN232" t="str">
            <v>N</v>
          </cell>
        </row>
        <row r="233">
          <cell r="C233" t="str">
            <v>SBTR432150</v>
          </cell>
          <cell r="D233" t="str">
            <v>Torres</v>
          </cell>
          <cell r="E233" t="str">
            <v>RS</v>
          </cell>
          <cell r="F233" t="str">
            <v>ü</v>
          </cell>
          <cell r="G233" t="str">
            <v>Adequação</v>
          </cell>
          <cell r="H233">
            <v>6370653.4139590627</v>
          </cell>
          <cell r="I233">
            <v>6370653.4139590627</v>
          </cell>
          <cell r="J233">
            <v>6370653.4139590627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19111960.241877187</v>
          </cell>
          <cell r="AN233" t="str">
            <v>S e SE</v>
          </cell>
        </row>
        <row r="234">
          <cell r="C234" t="str">
            <v>SSUM412810</v>
          </cell>
          <cell r="D234" t="str">
            <v>Umuarama</v>
          </cell>
          <cell r="E234" t="str">
            <v>PR</v>
          </cell>
          <cell r="F234" t="str">
            <v>ü</v>
          </cell>
          <cell r="G234" t="str">
            <v>Adequação</v>
          </cell>
          <cell r="H234">
            <v>7610829.5018554917</v>
          </cell>
          <cell r="I234">
            <v>7610829.5018554917</v>
          </cell>
          <cell r="J234">
            <v>7610829.5018554917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22832488.505566474</v>
          </cell>
          <cell r="AN234" t="str">
            <v>S e SE</v>
          </cell>
        </row>
        <row r="235">
          <cell r="C235" t="str">
            <v>SSUV412820</v>
          </cell>
          <cell r="D235" t="str">
            <v>União da Vitória</v>
          </cell>
          <cell r="E235" t="str">
            <v>PR</v>
          </cell>
          <cell r="F235" t="str">
            <v>ü</v>
          </cell>
          <cell r="G235" t="str">
            <v>Adequação</v>
          </cell>
          <cell r="H235">
            <v>6608306.8410115624</v>
          </cell>
          <cell r="I235">
            <v>6608306.8410115624</v>
          </cell>
          <cell r="J235">
            <v>6608306.8410115624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19824920.523034688</v>
          </cell>
          <cell r="AN235" t="str">
            <v>S e SE</v>
          </cell>
        </row>
        <row r="236">
          <cell r="C236" t="str">
            <v>SSVL412710</v>
          </cell>
          <cell r="D236" t="str">
            <v>Telêmaco Borba</v>
          </cell>
          <cell r="E236" t="str">
            <v>PR</v>
          </cell>
          <cell r="F236" t="str">
            <v>ü</v>
          </cell>
          <cell r="G236" t="str">
            <v>Adequação</v>
          </cell>
          <cell r="H236">
            <v>10191594.694115607</v>
          </cell>
          <cell r="I236">
            <v>10191594.694115607</v>
          </cell>
          <cell r="J236">
            <v>10191594.694115607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30574784.082346819</v>
          </cell>
          <cell r="AN236" t="str">
            <v>S e SE</v>
          </cell>
        </row>
        <row r="237">
          <cell r="C237" t="str">
            <v>SSZR431720</v>
          </cell>
          <cell r="D237" t="str">
            <v>Santa Rosa</v>
          </cell>
          <cell r="E237" t="str">
            <v>RS</v>
          </cell>
          <cell r="F237" t="str">
            <v>ü</v>
          </cell>
          <cell r="G237" t="str">
            <v>Adequação</v>
          </cell>
          <cell r="H237">
            <v>7988260.1726184981</v>
          </cell>
          <cell r="I237">
            <v>7988260.1726184981</v>
          </cell>
          <cell r="J237">
            <v>7988260.1726184981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23964780.517855495</v>
          </cell>
          <cell r="AN237" t="str">
            <v>S e SE</v>
          </cell>
        </row>
        <row r="238">
          <cell r="C238" t="str">
            <v>SWCQ110008</v>
          </cell>
          <cell r="D238" t="str">
            <v>Costa Marques</v>
          </cell>
          <cell r="E238" t="str">
            <v>RO</v>
          </cell>
          <cell r="F238" t="str">
            <v>ü</v>
          </cell>
          <cell r="G238" t="str">
            <v>Adequação</v>
          </cell>
          <cell r="H238">
            <v>10254326.840265812</v>
          </cell>
          <cell r="I238">
            <v>10254326.840265812</v>
          </cell>
          <cell r="J238">
            <v>10254326.840265812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30762980.520797439</v>
          </cell>
          <cell r="AN238" t="str">
            <v>N</v>
          </cell>
        </row>
        <row r="239">
          <cell r="C239" t="str">
            <v>SWFN130260</v>
          </cell>
          <cell r="D239" t="str">
            <v>Manaus - Flores</v>
          </cell>
          <cell r="E239" t="str">
            <v>AM</v>
          </cell>
          <cell r="F239" t="str">
            <v>ü</v>
          </cell>
          <cell r="G239" t="str">
            <v>Adequação</v>
          </cell>
          <cell r="H239">
            <v>5197865.0893766237</v>
          </cell>
          <cell r="I239">
            <v>5197865.0893766237</v>
          </cell>
          <cell r="J239">
            <v>5197865.0893766237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15593595.26812987</v>
          </cell>
          <cell r="AN239" t="str">
            <v>-</v>
          </cell>
        </row>
        <row r="240">
          <cell r="C240" t="str">
            <v>SWFR520800</v>
          </cell>
          <cell r="D240" t="str">
            <v>Formosa</v>
          </cell>
          <cell r="E240" t="str">
            <v>GO</v>
          </cell>
          <cell r="F240" t="str">
            <v>ü</v>
          </cell>
          <cell r="G240" t="str">
            <v>Adequação</v>
          </cell>
          <cell r="H240">
            <v>7290553.8153378256</v>
          </cell>
          <cell r="I240">
            <v>7290553.8153378256</v>
          </cell>
          <cell r="J240">
            <v>7290553.8153378256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21871661.446013477</v>
          </cell>
          <cell r="AN240" t="str">
            <v>-</v>
          </cell>
        </row>
        <row r="241">
          <cell r="C241" t="str">
            <v>N686130220</v>
          </cell>
          <cell r="D241" t="str">
            <v>Juruá</v>
          </cell>
          <cell r="E241" t="str">
            <v>AM</v>
          </cell>
          <cell r="F241" t="str">
            <v>ü</v>
          </cell>
          <cell r="G241" t="str">
            <v>Adequação</v>
          </cell>
          <cell r="H241">
            <v>11525938.48915459</v>
          </cell>
          <cell r="I241">
            <v>11525938.48915459</v>
          </cell>
          <cell r="J241">
            <v>11525938.48915459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34577815.467463769</v>
          </cell>
          <cell r="AN241" t="str">
            <v>N</v>
          </cell>
        </row>
        <row r="242">
          <cell r="C242" t="str">
            <v>SWII130370</v>
          </cell>
          <cell r="D242" t="str">
            <v>Santo Antônio do Içá</v>
          </cell>
          <cell r="E242" t="str">
            <v>AM</v>
          </cell>
          <cell r="F242" t="str">
            <v>ü</v>
          </cell>
          <cell r="G242" t="str">
            <v>Adequação</v>
          </cell>
          <cell r="H242">
            <v>13450406.419648483</v>
          </cell>
          <cell r="I242">
            <v>13450406.419648483</v>
          </cell>
          <cell r="J242">
            <v>13450406.419648483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40351219.25894545</v>
          </cell>
          <cell r="AN242" t="str">
            <v>N</v>
          </cell>
        </row>
        <row r="243">
          <cell r="C243" t="str">
            <v>SWNS520110</v>
          </cell>
          <cell r="D243" t="str">
            <v>Anápolis</v>
          </cell>
          <cell r="E243" t="str">
            <v>GO</v>
          </cell>
          <cell r="F243" t="str">
            <v>ü</v>
          </cell>
          <cell r="G243" t="str">
            <v>Adequação</v>
          </cell>
          <cell r="H243">
            <v>7998346.892080158</v>
          </cell>
          <cell r="I243">
            <v>7998346.892080158</v>
          </cell>
          <cell r="J243">
            <v>7998346.892080158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23995040.676240474</v>
          </cell>
          <cell r="AN243" t="str">
            <v>NE e CO</v>
          </cell>
        </row>
        <row r="244">
          <cell r="C244" t="str">
            <v>SWOB130160</v>
          </cell>
          <cell r="D244" t="str">
            <v>Fonte Boa</v>
          </cell>
          <cell r="E244" t="str">
            <v>AM</v>
          </cell>
          <cell r="F244" t="str">
            <v>ü</v>
          </cell>
          <cell r="G244" t="str">
            <v>Adequação</v>
          </cell>
          <cell r="H244">
            <v>11065141.542894688</v>
          </cell>
          <cell r="I244">
            <v>11065141.542894688</v>
          </cell>
          <cell r="J244">
            <v>11065141.542894688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33195424.628684063</v>
          </cell>
          <cell r="AN244" t="str">
            <v>N</v>
          </cell>
        </row>
        <row r="245">
          <cell r="C245" t="str">
            <v>SWPY510704</v>
          </cell>
          <cell r="D245" t="str">
            <v>Primavera do Leste</v>
          </cell>
          <cell r="E245" t="str">
            <v>MT</v>
          </cell>
          <cell r="F245" t="str">
            <v>ü</v>
          </cell>
          <cell r="G245" t="str">
            <v>Adequação</v>
          </cell>
          <cell r="H245">
            <v>8651636.8099062257</v>
          </cell>
          <cell r="I245">
            <v>8651636.8099062257</v>
          </cell>
          <cell r="J245">
            <v>8651636.8099062257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25954910.429718677</v>
          </cell>
          <cell r="AN245" t="str">
            <v>NE e CO</v>
          </cell>
        </row>
        <row r="246">
          <cell r="C246" t="str">
            <v>SWTP130360</v>
          </cell>
          <cell r="D246" t="str">
            <v>Santa Isabel do Rio Negro</v>
          </cell>
          <cell r="E246" t="str">
            <v>AM</v>
          </cell>
          <cell r="F246" t="str">
            <v>ü</v>
          </cell>
          <cell r="G246" t="str">
            <v>Adequação</v>
          </cell>
          <cell r="H246">
            <v>11379870.415774809</v>
          </cell>
          <cell r="I246">
            <v>11379870.415774809</v>
          </cell>
          <cell r="J246">
            <v>11379870.415774809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34139611.247324429</v>
          </cell>
          <cell r="AN246" t="str">
            <v>N</v>
          </cell>
        </row>
        <row r="247">
          <cell r="C247" t="str">
            <v>SWUZ521250</v>
          </cell>
          <cell r="D247" t="str">
            <v>Luziânia</v>
          </cell>
          <cell r="E247" t="str">
            <v>GO</v>
          </cell>
          <cell r="F247" t="str">
            <v>ü</v>
          </cell>
          <cell r="G247" t="str">
            <v>Adequação</v>
          </cell>
          <cell r="H247">
            <v>5387825.6425840193</v>
          </cell>
          <cell r="I247">
            <v>5387825.6425840193</v>
          </cell>
          <cell r="J247">
            <v>5387825.6425840193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16163476.927752059</v>
          </cell>
          <cell r="AN247" t="str">
            <v>NE e CO</v>
          </cell>
        </row>
        <row r="248">
          <cell r="C248" t="str">
            <v>SWWA521800</v>
          </cell>
          <cell r="D248" t="str">
            <v>Porangatu</v>
          </cell>
          <cell r="E248" t="str">
            <v>GO</v>
          </cell>
          <cell r="F248" t="str">
            <v>ü</v>
          </cell>
          <cell r="G248" t="str">
            <v>Adequação</v>
          </cell>
          <cell r="H248">
            <v>6410320.0275541944</v>
          </cell>
          <cell r="I248">
            <v>6410320.0275541944</v>
          </cell>
          <cell r="J248">
            <v>6410320.0275541944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19230960.082662582</v>
          </cell>
          <cell r="AN248" t="str">
            <v>-</v>
          </cell>
        </row>
        <row r="249">
          <cell r="C249" t="str">
            <v>SWYN130014</v>
          </cell>
          <cell r="D249" t="str">
            <v>Apuí</v>
          </cell>
          <cell r="E249" t="str">
            <v>AM</v>
          </cell>
          <cell r="F249" t="str">
            <v>ü</v>
          </cell>
          <cell r="G249" t="str">
            <v>Adequação</v>
          </cell>
          <cell r="H249">
            <v>10137504.257142484</v>
          </cell>
          <cell r="I249">
            <v>10137504.257142484</v>
          </cell>
          <cell r="J249">
            <v>10137504.257142484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30412512.771427453</v>
          </cell>
          <cell r="AN249" t="str">
            <v>N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_AmpliAR_v3.1"/>
    </sheetNames>
    <sheetDataSet>
      <sheetData sheetId="0" refreshError="1">
        <row r="6">
          <cell r="A6" t="str">
            <v>SBIC</v>
          </cell>
          <cell r="B6" t="str">
            <v>ITACOATIARA</v>
          </cell>
          <cell r="C6" t="str">
            <v>AM0012_1301902</v>
          </cell>
          <cell r="D6" t="str">
            <v>ITACOATIARA</v>
          </cell>
          <cell r="E6" t="str">
            <v>AM</v>
          </cell>
          <cell r="F6" t="str">
            <v>ü</v>
          </cell>
          <cell r="G6" t="str">
            <v>Adequação</v>
          </cell>
          <cell r="H6">
            <v>19645000</v>
          </cell>
          <cell r="I6">
            <v>825000</v>
          </cell>
          <cell r="J6">
            <v>2800000</v>
          </cell>
          <cell r="K6">
            <v>1230000</v>
          </cell>
          <cell r="L6">
            <v>17630000</v>
          </cell>
          <cell r="M6">
            <v>0</v>
          </cell>
          <cell r="N6">
            <v>13290000</v>
          </cell>
          <cell r="O6">
            <v>0</v>
          </cell>
          <cell r="P6">
            <v>1875000</v>
          </cell>
          <cell r="Q6">
            <v>295000</v>
          </cell>
        </row>
        <row r="7">
          <cell r="A7" t="str">
            <v>SNIG</v>
          </cell>
          <cell r="B7" t="str">
            <v>IGUATU</v>
          </cell>
          <cell r="C7" t="str">
            <v>CE0007_2305506</v>
          </cell>
          <cell r="D7" t="str">
            <v>IGUATU</v>
          </cell>
          <cell r="E7" t="str">
            <v>CE</v>
          </cell>
          <cell r="F7" t="str">
            <v>û</v>
          </cell>
        </row>
        <row r="8">
          <cell r="A8" t="str">
            <v>SNTS</v>
          </cell>
          <cell r="B8" t="str">
            <v>BRIGADEIRO FIRMINO AYRES</v>
          </cell>
          <cell r="C8" t="str">
            <v>PB0005_2510808</v>
          </cell>
          <cell r="D8" t="str">
            <v>PATOS</v>
          </cell>
          <cell r="E8" t="str">
            <v>PB</v>
          </cell>
          <cell r="F8" t="str">
            <v>û</v>
          </cell>
        </row>
        <row r="9">
          <cell r="A9" t="str">
            <v>N096</v>
          </cell>
          <cell r="B9" t="str">
            <v>AEROPORTO PRÉ-PLANEJADO EM SEDE DE UTP</v>
          </cell>
          <cell r="C9" t="str">
            <v>PA-011_1502509</v>
          </cell>
          <cell r="D9" t="str">
            <v>CHAVES</v>
          </cell>
          <cell r="E9" t="str">
            <v>PA</v>
          </cell>
          <cell r="F9" t="str">
            <v>û</v>
          </cell>
        </row>
        <row r="10">
          <cell r="A10" t="str">
            <v>SNMA</v>
          </cell>
          <cell r="B10" t="str">
            <v>MONTE ALEGRE</v>
          </cell>
          <cell r="C10" t="str">
            <v>PA0019_1504802</v>
          </cell>
          <cell r="D10" t="str">
            <v>MONTE ALEGRE</v>
          </cell>
          <cell r="E10" t="str">
            <v>PA</v>
          </cell>
          <cell r="F10" t="str">
            <v>û</v>
          </cell>
        </row>
        <row r="11">
          <cell r="A11" t="str">
            <v>SNLN</v>
          </cell>
          <cell r="B11" t="str">
            <v>MUNICIPAL DE LINHARES</v>
          </cell>
          <cell r="C11" t="str">
            <v>ES0002_3203205</v>
          </cell>
          <cell r="D11" t="str">
            <v>LINHARES</v>
          </cell>
          <cell r="E11" t="str">
            <v>ES</v>
          </cell>
          <cell r="F11" t="str">
            <v>û</v>
          </cell>
        </row>
        <row r="12">
          <cell r="A12" t="str">
            <v>SBTU</v>
          </cell>
          <cell r="B12" t="str">
            <v>TUCURUÍ</v>
          </cell>
          <cell r="C12" t="str">
            <v>PA0007_1508100</v>
          </cell>
          <cell r="D12" t="str">
            <v>TUCURUÍ</v>
          </cell>
          <cell r="E12" t="str">
            <v>PA</v>
          </cell>
          <cell r="F12" t="str">
            <v>û</v>
          </cell>
        </row>
        <row r="13">
          <cell r="A13" t="str">
            <v>SBGM</v>
          </cell>
          <cell r="B13" t="str">
            <v>GUAJARÁ-MIRIM</v>
          </cell>
          <cell r="C13" t="str">
            <v>RO0006_1100106</v>
          </cell>
          <cell r="D13" t="str">
            <v>GUAJARÁ-MIRIM</v>
          </cell>
          <cell r="E13" t="str">
            <v>RO</v>
          </cell>
          <cell r="F13" t="str">
            <v>û</v>
          </cell>
        </row>
        <row r="14">
          <cell r="A14" t="str">
            <v>SNDV</v>
          </cell>
          <cell r="B14" t="str">
            <v>BRIGADEIRO ANTÔNIO CABRAL</v>
          </cell>
          <cell r="C14" t="str">
            <v>MG0015_3122306</v>
          </cell>
          <cell r="D14" t="str">
            <v>DIVINÓPOLIS</v>
          </cell>
          <cell r="E14" t="str">
            <v>MG</v>
          </cell>
          <cell r="F14" t="str">
            <v>û</v>
          </cell>
        </row>
        <row r="15">
          <cell r="A15" t="str">
            <v>N094</v>
          </cell>
          <cell r="B15" t="str">
            <v>AEROPORTO PRÉ-PLANEJADO EM SEDE DE UTP</v>
          </cell>
          <cell r="C15" t="str">
            <v>PA-007_1501709</v>
          </cell>
          <cell r="D15" t="str">
            <v>BRAGANÇA</v>
          </cell>
          <cell r="E15" t="str">
            <v>PA</v>
          </cell>
          <cell r="F15" t="str">
            <v>û</v>
          </cell>
        </row>
        <row r="16">
          <cell r="A16" t="str">
            <v>SI7L</v>
          </cell>
          <cell r="B16" t="str">
            <v>PRAINHA</v>
          </cell>
          <cell r="C16" t="str">
            <v>PA0331_1506005</v>
          </cell>
          <cell r="D16" t="str">
            <v>PRAINHA</v>
          </cell>
          <cell r="E16" t="str">
            <v>PA</v>
          </cell>
          <cell r="F16" t="str">
            <v>û</v>
          </cell>
        </row>
        <row r="17">
          <cell r="A17" t="str">
            <v>SDRK</v>
          </cell>
          <cell r="B17" t="str">
            <v>RIO CLARO</v>
          </cell>
          <cell r="C17" t="str">
            <v>SP0049_3543907</v>
          </cell>
          <cell r="D17" t="str">
            <v>RIO CLARO</v>
          </cell>
          <cell r="E17" t="str">
            <v>SP</v>
          </cell>
          <cell r="F17" t="str">
            <v>û</v>
          </cell>
        </row>
        <row r="18">
          <cell r="A18" t="str">
            <v>N070</v>
          </cell>
          <cell r="B18" t="str">
            <v>AEROPORTO PRÉ-PLANEJADO EM SEDE DE UTP</v>
          </cell>
          <cell r="C18" t="str">
            <v>AM-012_1304302</v>
          </cell>
          <cell r="D18" t="str">
            <v>URUCARÁ</v>
          </cell>
          <cell r="E18" t="str">
            <v>AM</v>
          </cell>
          <cell r="F18" t="str">
            <v>û</v>
          </cell>
        </row>
        <row r="19">
          <cell r="A19" t="str">
            <v>SNEB</v>
          </cell>
          <cell r="B19" t="str">
            <v>NAGIB DEMACHKI</v>
          </cell>
          <cell r="C19" t="str">
            <v>PA0018_1505502</v>
          </cell>
          <cell r="D19" t="str">
            <v>PARAGOMINAS</v>
          </cell>
          <cell r="E19" t="str">
            <v>PA</v>
          </cell>
          <cell r="F19" t="str">
            <v>û</v>
          </cell>
        </row>
        <row r="20">
          <cell r="A20" t="str">
            <v>SNCZ</v>
          </cell>
          <cell r="B20" t="str">
            <v>PONTE NOVA</v>
          </cell>
          <cell r="C20" t="str">
            <v>MG0059_3152105</v>
          </cell>
          <cell r="D20" t="str">
            <v>PONTE NOVA</v>
          </cell>
          <cell r="E20" t="str">
            <v>MG</v>
          </cell>
          <cell r="F20" t="str">
            <v>û</v>
          </cell>
        </row>
        <row r="21">
          <cell r="A21" t="str">
            <v>N123</v>
          </cell>
          <cell r="B21" t="str">
            <v>AEROPORTO PRÉ-PLANEJADO EM SEDE DE UTP</v>
          </cell>
          <cell r="C21" t="str">
            <v>PA-016_1506195</v>
          </cell>
          <cell r="D21" t="str">
            <v>RURÓPOLIS</v>
          </cell>
          <cell r="E21" t="str">
            <v>PA</v>
          </cell>
          <cell r="F21" t="str">
            <v>û</v>
          </cell>
        </row>
        <row r="22">
          <cell r="A22" t="str">
            <v>SJOG</v>
          </cell>
          <cell r="B22" t="str">
            <v>ARIQUEMES</v>
          </cell>
          <cell r="C22" t="str">
            <v>RO0008_1100023</v>
          </cell>
          <cell r="D22" t="str">
            <v>ARIQUEMES</v>
          </cell>
          <cell r="E22" t="str">
            <v>RO</v>
          </cell>
          <cell r="F22" t="str">
            <v>û</v>
          </cell>
        </row>
        <row r="23">
          <cell r="A23" t="str">
            <v>SNSS</v>
          </cell>
          <cell r="B23" t="str">
            <v>SALINAS</v>
          </cell>
          <cell r="C23" t="str">
            <v>MG0029_3157005</v>
          </cell>
          <cell r="D23" t="str">
            <v>SALINAS</v>
          </cell>
          <cell r="E23" t="str">
            <v>MG</v>
          </cell>
          <cell r="F23" t="str">
            <v>û</v>
          </cell>
        </row>
        <row r="24">
          <cell r="A24" t="str">
            <v>SBOI</v>
          </cell>
          <cell r="B24" t="str">
            <v>OIAPOQUE</v>
          </cell>
          <cell r="C24" t="str">
            <v>AP0002_1600501</v>
          </cell>
          <cell r="D24" t="str">
            <v>OIAPOQUE</v>
          </cell>
          <cell r="E24" t="str">
            <v>AP</v>
          </cell>
          <cell r="F24" t="str">
            <v>û</v>
          </cell>
        </row>
        <row r="25">
          <cell r="A25" t="str">
            <v>SWBR</v>
          </cell>
          <cell r="B25" t="str">
            <v>BORBA</v>
          </cell>
          <cell r="C25" t="str">
            <v>AM0018_1300805</v>
          </cell>
          <cell r="D25" t="str">
            <v>BORBA</v>
          </cell>
          <cell r="E25" t="str">
            <v>AM</v>
          </cell>
          <cell r="F25" t="str">
            <v>û</v>
          </cell>
        </row>
        <row r="26">
          <cell r="A26" t="str">
            <v>SNTI</v>
          </cell>
          <cell r="B26" t="str">
            <v>ÓBIDOS</v>
          </cell>
          <cell r="C26" t="str">
            <v>PA0016_1505106</v>
          </cell>
          <cell r="D26" t="str">
            <v>ÓBIDOS</v>
          </cell>
          <cell r="E26" t="str">
            <v>PA</v>
          </cell>
          <cell r="F26" t="str">
            <v>û</v>
          </cell>
        </row>
        <row r="27">
          <cell r="A27" t="str">
            <v>N218</v>
          </cell>
          <cell r="B27" t="str">
            <v>AEROPORTO PRÉ-PLANEJADO EM SEDE DE UTP</v>
          </cell>
          <cell r="C27" t="str">
            <v>SP-013_3522307</v>
          </cell>
          <cell r="D27" t="str">
            <v>ITAPETININGA</v>
          </cell>
          <cell r="E27" t="str">
            <v>SP</v>
          </cell>
          <cell r="F27" t="str">
            <v>û</v>
          </cell>
        </row>
        <row r="28">
          <cell r="A28" t="str">
            <v>SWUA</v>
          </cell>
          <cell r="B28" t="str">
            <v>SÃO MIGUEL DO ARAGUAIA</v>
          </cell>
          <cell r="C28" t="str">
            <v>GO0011_5220207</v>
          </cell>
          <cell r="D28" t="str">
            <v>SÃO MIGUEL DO ARAGUAIA</v>
          </cell>
          <cell r="E28" t="str">
            <v>GO</v>
          </cell>
          <cell r="F28" t="str">
            <v>û</v>
          </cell>
        </row>
        <row r="29">
          <cell r="A29" t="str">
            <v>N861</v>
          </cell>
          <cell r="B29" t="str">
            <v>AEROPORTO PRÉ-PLANEJADO EM SEDE DE UTP</v>
          </cell>
          <cell r="C29" t="str">
            <v>AP-004_1600709</v>
          </cell>
          <cell r="D29" t="str">
            <v>TARTARUGALZINHO</v>
          </cell>
          <cell r="E29" t="str">
            <v>AP</v>
          </cell>
          <cell r="F29" t="str">
            <v>û</v>
          </cell>
        </row>
        <row r="30">
          <cell r="A30" t="str">
            <v>SWEK</v>
          </cell>
          <cell r="B30" t="str">
            <v>CANARANA</v>
          </cell>
          <cell r="C30" t="str">
            <v>MT0024_5102702</v>
          </cell>
          <cell r="D30" t="str">
            <v>CANARANA</v>
          </cell>
          <cell r="E30" t="str">
            <v>MT</v>
          </cell>
          <cell r="F30" t="str">
            <v>û</v>
          </cell>
        </row>
        <row r="31">
          <cell r="A31" t="str">
            <v>SWKC</v>
          </cell>
          <cell r="B31" t="str">
            <v>CÁCERES</v>
          </cell>
          <cell r="C31" t="str">
            <v>MT0017_5102504</v>
          </cell>
          <cell r="D31" t="str">
            <v>CÁCERES</v>
          </cell>
          <cell r="E31" t="str">
            <v>MT</v>
          </cell>
          <cell r="F31" t="str">
            <v>û</v>
          </cell>
        </row>
        <row r="32">
          <cell r="A32" t="str">
            <v>SBTK</v>
          </cell>
          <cell r="B32" t="str">
            <v>TARAUACÁ</v>
          </cell>
          <cell r="C32" t="str">
            <v>AC0004_1200609</v>
          </cell>
          <cell r="D32" t="str">
            <v>TARAUACÁ</v>
          </cell>
          <cell r="E32" t="str">
            <v>AC</v>
          </cell>
          <cell r="F32" t="str">
            <v>ü</v>
          </cell>
          <cell r="G32" t="str">
            <v>Adequação</v>
          </cell>
          <cell r="H32">
            <v>12725000</v>
          </cell>
          <cell r="I32">
            <v>795000</v>
          </cell>
          <cell r="J32">
            <v>725000</v>
          </cell>
          <cell r="K32">
            <v>1855000</v>
          </cell>
          <cell r="L32">
            <v>10850000</v>
          </cell>
          <cell r="M32">
            <v>0</v>
          </cell>
          <cell r="N32">
            <v>3800000</v>
          </cell>
          <cell r="O32">
            <v>0</v>
          </cell>
          <cell r="P32">
            <v>555000</v>
          </cell>
          <cell r="Q32">
            <v>260000</v>
          </cell>
        </row>
        <row r="33">
          <cell r="A33" t="str">
            <v>SNPC</v>
          </cell>
          <cell r="B33" t="str">
            <v>PICOS</v>
          </cell>
          <cell r="C33" t="str">
            <v>PI0009_2208007</v>
          </cell>
          <cell r="D33" t="str">
            <v>PICOS</v>
          </cell>
          <cell r="E33" t="str">
            <v>PI</v>
          </cell>
          <cell r="F33" t="str">
            <v>û</v>
          </cell>
        </row>
        <row r="34">
          <cell r="A34" t="str">
            <v>N798</v>
          </cell>
          <cell r="B34" t="str">
            <v>AEROPORTO PRÉ-PLANEJADO EM SEDE DE UTP</v>
          </cell>
          <cell r="C34" t="str">
            <v>RR-004_1400472</v>
          </cell>
          <cell r="D34" t="str">
            <v>RORAINÓPOLIS</v>
          </cell>
          <cell r="E34" t="str">
            <v>RR</v>
          </cell>
          <cell r="F34" t="str">
            <v>û</v>
          </cell>
        </row>
        <row r="35">
          <cell r="A35" t="str">
            <v>N774</v>
          </cell>
          <cell r="B35" t="str">
            <v>AEROPORTO PRÉ-PLANEJADO EM SEDE DE UTP</v>
          </cell>
          <cell r="C35" t="str">
            <v>PA-015_1505809</v>
          </cell>
          <cell r="D35" t="str">
            <v>PORTEL</v>
          </cell>
          <cell r="E35" t="str">
            <v>PA</v>
          </cell>
          <cell r="F35" t="str">
            <v>û</v>
          </cell>
        </row>
        <row r="36">
          <cell r="A36" t="str">
            <v>SJZ5</v>
          </cell>
          <cell r="B36" t="str">
            <v>AUTAZES</v>
          </cell>
          <cell r="C36" t="str">
            <v>AM0112_1300300</v>
          </cell>
          <cell r="D36" t="str">
            <v>AUTAZES</v>
          </cell>
          <cell r="E36" t="str">
            <v>AM</v>
          </cell>
          <cell r="F36" t="str">
            <v>û</v>
          </cell>
        </row>
        <row r="37">
          <cell r="A37" t="str">
            <v>SNZR</v>
          </cell>
          <cell r="B37" t="str">
            <v>PEDRO RABELO DE SOUZA</v>
          </cell>
          <cell r="C37" t="str">
            <v>MG0026_3147006</v>
          </cell>
          <cell r="D37" t="str">
            <v>PARACATU</v>
          </cell>
          <cell r="E37" t="str">
            <v>MG</v>
          </cell>
          <cell r="F37" t="str">
            <v>û</v>
          </cell>
        </row>
        <row r="38">
          <cell r="A38" t="str">
            <v>SNFX</v>
          </cell>
          <cell r="B38" t="str">
            <v>SÃO FÉLIX DO XINGU</v>
          </cell>
          <cell r="C38" t="str">
            <v>PA0013_1507300</v>
          </cell>
          <cell r="D38" t="str">
            <v>SÃO FÉLIX DO XINGU</v>
          </cell>
          <cell r="E38" t="str">
            <v>PA</v>
          </cell>
          <cell r="F38" t="str">
            <v>û</v>
          </cell>
        </row>
        <row r="39">
          <cell r="A39" t="str">
            <v>SNDC</v>
          </cell>
          <cell r="B39" t="str">
            <v>REDENÇÃO</v>
          </cell>
          <cell r="C39" t="str">
            <v>PA0030_1506138</v>
          </cell>
          <cell r="D39" t="str">
            <v>REDENÇÃO</v>
          </cell>
          <cell r="E39" t="str">
            <v>PA</v>
          </cell>
          <cell r="F39" t="str">
            <v>û</v>
          </cell>
        </row>
        <row r="40">
          <cell r="A40" t="str">
            <v>SNOS</v>
          </cell>
          <cell r="B40" t="str">
            <v>MUNICIPAL JOSÉ FIGUEIREDO</v>
          </cell>
          <cell r="C40" t="str">
            <v>MG0024_3147907</v>
          </cell>
          <cell r="D40" t="str">
            <v>PASSOS</v>
          </cell>
          <cell r="E40" t="str">
            <v>MG</v>
          </cell>
          <cell r="F40" t="str">
            <v>û</v>
          </cell>
        </row>
        <row r="41">
          <cell r="A41" t="str">
            <v>N707</v>
          </cell>
          <cell r="B41" t="str">
            <v>AEROPORTO PRÉ-PLANEJADO EM SEDE DE UTP</v>
          </cell>
          <cell r="C41" t="str">
            <v>TO-009_1712702</v>
          </cell>
          <cell r="D41" t="str">
            <v>MATEIROS</v>
          </cell>
          <cell r="E41" t="str">
            <v>TO</v>
          </cell>
          <cell r="F41" t="str">
            <v>û</v>
          </cell>
        </row>
        <row r="42">
          <cell r="A42" t="str">
            <v>SDXF</v>
          </cell>
          <cell r="B42" t="str">
            <v>ALTO PARAÍSO DE GOIÁS</v>
          </cell>
          <cell r="C42" t="str">
            <v>GO0020_5200605</v>
          </cell>
          <cell r="D42" t="str">
            <v>ALTO PARAÍSO DE GOIÁS</v>
          </cell>
          <cell r="E42" t="str">
            <v>GO</v>
          </cell>
          <cell r="F42" t="str">
            <v>û</v>
          </cell>
        </row>
        <row r="43">
          <cell r="A43" t="str">
            <v>SSRS</v>
          </cell>
          <cell r="B43" t="str">
            <v>BARREIRINHAS</v>
          </cell>
          <cell r="C43" t="str">
            <v>MA0008_2101707</v>
          </cell>
          <cell r="D43" t="str">
            <v>BARREIRINHAS</v>
          </cell>
          <cell r="E43" t="str">
            <v>MA</v>
          </cell>
          <cell r="F43" t="str">
            <v>ü</v>
          </cell>
          <cell r="G43" t="str">
            <v>Adequação</v>
          </cell>
          <cell r="H43">
            <v>4435000</v>
          </cell>
          <cell r="I43">
            <v>0</v>
          </cell>
          <cell r="J43">
            <v>2545000</v>
          </cell>
          <cell r="K43">
            <v>0</v>
          </cell>
          <cell r="L43">
            <v>4950000</v>
          </cell>
          <cell r="M43">
            <v>0</v>
          </cell>
          <cell r="N43">
            <v>6700000</v>
          </cell>
          <cell r="O43">
            <v>0</v>
          </cell>
          <cell r="P43">
            <v>835000</v>
          </cell>
          <cell r="Q43">
            <v>295000</v>
          </cell>
        </row>
        <row r="44">
          <cell r="A44" t="str">
            <v>N920</v>
          </cell>
          <cell r="B44" t="str">
            <v>AEROPORTO PRÉ-PLANEJADO EM SEDE DE UTP</v>
          </cell>
          <cell r="C44" t="str">
            <v>BA-010_2908606</v>
          </cell>
          <cell r="D44" t="str">
            <v>CONDE</v>
          </cell>
          <cell r="E44" t="str">
            <v>BA</v>
          </cell>
          <cell r="F44" t="str">
            <v>û</v>
          </cell>
        </row>
        <row r="45">
          <cell r="A45" t="str">
            <v>SDAG</v>
          </cell>
          <cell r="B45" t="str">
            <v>ANGRA DOS REIS</v>
          </cell>
          <cell r="C45" t="str">
            <v>RJ0010_3300100</v>
          </cell>
          <cell r="D45" t="str">
            <v>ANGRA DOS REIS</v>
          </cell>
          <cell r="E45" t="str">
            <v>RJ</v>
          </cell>
          <cell r="F45" t="str">
            <v>û</v>
          </cell>
        </row>
        <row r="46">
          <cell r="A46" t="str">
            <v>SNSM</v>
          </cell>
          <cell r="B46" t="str">
            <v>SALINÓPOLIS</v>
          </cell>
          <cell r="C46" t="str">
            <v>PA0250_1506203</v>
          </cell>
          <cell r="D46" t="str">
            <v>SALINÓPOLIS</v>
          </cell>
          <cell r="E46" t="str">
            <v>PA</v>
          </cell>
          <cell r="F46" t="str">
            <v>ü</v>
          </cell>
          <cell r="G46" t="str">
            <v>Adequação</v>
          </cell>
          <cell r="H46">
            <v>16995000</v>
          </cell>
          <cell r="I46">
            <v>0</v>
          </cell>
          <cell r="J46">
            <v>1750000</v>
          </cell>
          <cell r="K46">
            <v>1450000</v>
          </cell>
          <cell r="L46">
            <v>12340000</v>
          </cell>
          <cell r="M46">
            <v>0</v>
          </cell>
          <cell r="N46">
            <v>8285000</v>
          </cell>
          <cell r="O46">
            <v>0</v>
          </cell>
          <cell r="P46">
            <v>1315000</v>
          </cell>
          <cell r="Q46">
            <v>20000</v>
          </cell>
        </row>
        <row r="47">
          <cell r="A47" t="str">
            <v>N275</v>
          </cell>
          <cell r="B47" t="str">
            <v>AEROPORTO PRÉ-PLANEJADO EM SEDE DE UTP</v>
          </cell>
          <cell r="C47" t="str">
            <v>AL-001_2704500</v>
          </cell>
          <cell r="D47" t="str">
            <v>MARAGOGI</v>
          </cell>
          <cell r="E47" t="str">
            <v>AL</v>
          </cell>
          <cell r="F47" t="str">
            <v>û</v>
          </cell>
        </row>
        <row r="48">
          <cell r="A48" t="str">
            <v>SBST</v>
          </cell>
          <cell r="B48" t="str">
            <v>SANTOS</v>
          </cell>
          <cell r="C48" t="str">
            <v>SP9006_3518701</v>
          </cell>
          <cell r="D48" t="str">
            <v>GUARUJÁ</v>
          </cell>
          <cell r="E48" t="str">
            <v>SP</v>
          </cell>
          <cell r="F48" t="str">
            <v>û</v>
          </cell>
        </row>
        <row r="49">
          <cell r="A49" t="str">
            <v>SBUF</v>
          </cell>
          <cell r="B49" t="str">
            <v>PAULO AFONSO</v>
          </cell>
          <cell r="C49" t="str">
            <v>BA0007_2924009</v>
          </cell>
          <cell r="D49" t="str">
            <v>PAULO AFONSO</v>
          </cell>
          <cell r="E49" t="str">
            <v>BA</v>
          </cell>
          <cell r="F49" t="str">
            <v>ü</v>
          </cell>
          <cell r="G49" t="str">
            <v>Adequação</v>
          </cell>
          <cell r="H49">
            <v>23045000</v>
          </cell>
          <cell r="I49">
            <v>850000</v>
          </cell>
          <cell r="J49">
            <v>0</v>
          </cell>
          <cell r="K49">
            <v>745000</v>
          </cell>
          <cell r="L49">
            <v>17705000</v>
          </cell>
          <cell r="M49">
            <v>0</v>
          </cell>
          <cell r="N49">
            <v>3965000</v>
          </cell>
          <cell r="O49">
            <v>0</v>
          </cell>
          <cell r="P49">
            <v>335000</v>
          </cell>
          <cell r="Q49">
            <v>5000</v>
          </cell>
        </row>
        <row r="50">
          <cell r="A50" t="str">
            <v>SWKQ</v>
          </cell>
          <cell r="B50" t="str">
            <v>SERRA DA CAPIVARA/SÃO RAIMUNDO NONATO</v>
          </cell>
          <cell r="C50" t="str">
            <v>PI0004_2210607</v>
          </cell>
          <cell r="D50" t="str">
            <v>SÃO RAIMUNDO NONATO</v>
          </cell>
          <cell r="E50" t="str">
            <v>PI</v>
          </cell>
          <cell r="F50" t="str">
            <v>ü</v>
          </cell>
          <cell r="G50" t="str">
            <v>Adequação</v>
          </cell>
          <cell r="H50">
            <v>0</v>
          </cell>
          <cell r="I50">
            <v>825000</v>
          </cell>
          <cell r="J50">
            <v>0</v>
          </cell>
          <cell r="K50">
            <v>595000</v>
          </cell>
          <cell r="L50">
            <v>5255000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10000</v>
          </cell>
        </row>
        <row r="51">
          <cell r="A51" t="str">
            <v>SBAX</v>
          </cell>
          <cell r="B51" t="str">
            <v>ROMEU ZEMA</v>
          </cell>
          <cell r="C51" t="str">
            <v>MG0008_3104007</v>
          </cell>
          <cell r="D51" t="str">
            <v>ARAXÁ</v>
          </cell>
          <cell r="E51" t="str">
            <v>MG</v>
          </cell>
          <cell r="F51" t="str">
            <v>û</v>
          </cell>
        </row>
        <row r="52">
          <cell r="A52" t="str">
            <v>SBLE</v>
          </cell>
          <cell r="B52" t="str">
            <v>HORÁCIO DE MATTOS</v>
          </cell>
          <cell r="C52" t="str">
            <v>BA0006_2919306</v>
          </cell>
          <cell r="D52" t="str">
            <v>LENÇÓIS</v>
          </cell>
          <cell r="E52" t="str">
            <v>BA</v>
          </cell>
          <cell r="F52" t="str">
            <v>ü</v>
          </cell>
          <cell r="G52" t="str">
            <v>Adequação</v>
          </cell>
          <cell r="H52">
            <v>0</v>
          </cell>
          <cell r="I52">
            <v>850000</v>
          </cell>
          <cell r="J52">
            <v>0</v>
          </cell>
          <cell r="K52">
            <v>0</v>
          </cell>
          <cell r="L52">
            <v>5320000</v>
          </cell>
          <cell r="M52">
            <v>0</v>
          </cell>
          <cell r="N52">
            <v>12170000</v>
          </cell>
          <cell r="O52">
            <v>0</v>
          </cell>
          <cell r="P52">
            <v>1460000</v>
          </cell>
          <cell r="Q52">
            <v>0</v>
          </cell>
        </row>
        <row r="53">
          <cell r="A53" t="str">
            <v>SDIY</v>
          </cell>
          <cell r="B53" t="str">
            <v>JOÃO DURVAL CARNEIRO</v>
          </cell>
          <cell r="C53" t="str">
            <v>BA0013_2910800</v>
          </cell>
          <cell r="D53" t="str">
            <v>FEIRA DE SANTANA</v>
          </cell>
          <cell r="E53" t="str">
            <v>BA</v>
          </cell>
          <cell r="F53" t="str">
            <v>û</v>
          </cell>
        </row>
        <row r="54">
          <cell r="A54" t="str">
            <v>SNCP</v>
          </cell>
          <cell r="B54" t="str">
            <v>AEROPORTO REGIONAL DO PLANALTO SERRANO</v>
          </cell>
          <cell r="C54" t="str">
            <v>SC0181_4204558</v>
          </cell>
          <cell r="D54" t="str">
            <v>CORREIA PINTO</v>
          </cell>
          <cell r="E54" t="str">
            <v>SC</v>
          </cell>
          <cell r="F54" t="str">
            <v>û</v>
          </cell>
        </row>
        <row r="55">
          <cell r="A55" t="str">
            <v>SBCA</v>
          </cell>
          <cell r="B55" t="str">
            <v>AEROPORTO REGIONAL DO OESTE - CEL. ADALBERTO MENDES DA SILVA</v>
          </cell>
          <cell r="C55" t="str">
            <v>PR0005_4104808</v>
          </cell>
          <cell r="D55" t="str">
            <v>CASCAVEL</v>
          </cell>
          <cell r="E55" t="str">
            <v>PR</v>
          </cell>
          <cell r="F55" t="str">
            <v>û</v>
          </cell>
        </row>
        <row r="56">
          <cell r="A56" t="str">
            <v>SBCN</v>
          </cell>
          <cell r="B56" t="str">
            <v>NELSON RODRIGUES GUIMARÃES</v>
          </cell>
          <cell r="C56" t="str">
            <v>GO0003_5204508</v>
          </cell>
          <cell r="D56" t="str">
            <v>CALDAS NOVAS</v>
          </cell>
          <cell r="E56" t="str">
            <v>GO</v>
          </cell>
          <cell r="F56" t="str">
            <v>û</v>
          </cell>
        </row>
        <row r="57">
          <cell r="A57" t="str">
            <v>SBGV</v>
          </cell>
          <cell r="B57" t="str">
            <v>CORONEL ALTINO MACHADO</v>
          </cell>
          <cell r="C57" t="str">
            <v>MG0032_3127701</v>
          </cell>
          <cell r="D57" t="str">
            <v>GOVERNADOR VALADARES</v>
          </cell>
          <cell r="E57" t="str">
            <v>MG</v>
          </cell>
          <cell r="F57" t="str">
            <v>û</v>
          </cell>
        </row>
        <row r="58">
          <cell r="A58" t="str">
            <v>SBIH</v>
          </cell>
          <cell r="B58" t="str">
            <v>ITAITUBA</v>
          </cell>
          <cell r="C58" t="str">
            <v>PA0010_1503606</v>
          </cell>
          <cell r="D58" t="str">
            <v>ITAITUBA</v>
          </cell>
          <cell r="E58" t="str">
            <v>PA</v>
          </cell>
          <cell r="F58" t="str">
            <v>ü</v>
          </cell>
          <cell r="G58" t="str">
            <v>Adequação</v>
          </cell>
          <cell r="H58">
            <v>16145000</v>
          </cell>
          <cell r="I58">
            <v>825000</v>
          </cell>
          <cell r="J58">
            <v>945000</v>
          </cell>
          <cell r="K58">
            <v>5920000</v>
          </cell>
          <cell r="L58">
            <v>10485000</v>
          </cell>
          <cell r="M58">
            <v>0</v>
          </cell>
          <cell r="N58">
            <v>8295000</v>
          </cell>
          <cell r="O58">
            <v>0</v>
          </cell>
          <cell r="P58">
            <v>1360000</v>
          </cell>
          <cell r="Q58">
            <v>10000</v>
          </cell>
        </row>
        <row r="59">
          <cell r="A59" t="str">
            <v>SBJA</v>
          </cell>
          <cell r="B59" t="str">
            <v>REGIONAL SUL</v>
          </cell>
          <cell r="C59" t="str">
            <v>SC0005_4208807</v>
          </cell>
          <cell r="D59" t="str">
            <v>JAGUARUNA</v>
          </cell>
          <cell r="E59" t="str">
            <v>SC</v>
          </cell>
          <cell r="F59" t="str">
            <v>û</v>
          </cell>
        </row>
        <row r="60">
          <cell r="A60" t="str">
            <v>SBSM</v>
          </cell>
          <cell r="B60" t="str">
            <v>SANTA MARIA</v>
          </cell>
          <cell r="C60" t="str">
            <v>RS0003_4316907</v>
          </cell>
          <cell r="D60" t="str">
            <v>SANTA MARIA</v>
          </cell>
          <cell r="E60" t="str">
            <v>RS</v>
          </cell>
          <cell r="F60" t="str">
            <v>û</v>
          </cell>
        </row>
        <row r="61">
          <cell r="A61" t="str">
            <v>SBTD</v>
          </cell>
          <cell r="B61" t="str">
            <v>LUIZ DALCANALE FILHO</v>
          </cell>
          <cell r="C61" t="str">
            <v>PR0008_4127700</v>
          </cell>
          <cell r="D61" t="str">
            <v>TOLEDO</v>
          </cell>
          <cell r="E61" t="str">
            <v>PR</v>
          </cell>
          <cell r="F61" t="str">
            <v>û</v>
          </cell>
        </row>
        <row r="62">
          <cell r="A62" t="str">
            <v>SBZM</v>
          </cell>
          <cell r="B62" t="str">
            <v>PRESIDENTE ITAMAR FRANCO</v>
          </cell>
          <cell r="C62" t="str">
            <v>MG0006_3127388</v>
          </cell>
          <cell r="D62" t="str">
            <v>GOIANÁ</v>
          </cell>
          <cell r="E62" t="str">
            <v>MG</v>
          </cell>
          <cell r="F62" t="str">
            <v>û</v>
          </cell>
        </row>
        <row r="63">
          <cell r="A63" t="str">
            <v>SWBC</v>
          </cell>
          <cell r="B63" t="str">
            <v>BARCELOS</v>
          </cell>
          <cell r="C63" t="str">
            <v>AM0017_1300409</v>
          </cell>
          <cell r="D63" t="str">
            <v>BARCELOS</v>
          </cell>
          <cell r="E63" t="str">
            <v>AM</v>
          </cell>
          <cell r="F63" t="str">
            <v>ü</v>
          </cell>
          <cell r="G63" t="str">
            <v>Adequação</v>
          </cell>
          <cell r="H63">
            <v>0</v>
          </cell>
          <cell r="I63">
            <v>825000</v>
          </cell>
          <cell r="J63">
            <v>0</v>
          </cell>
          <cell r="K63">
            <v>1050000</v>
          </cell>
          <cell r="L63">
            <v>8070000</v>
          </cell>
          <cell r="M63">
            <v>0</v>
          </cell>
          <cell r="N63">
            <v>3800000</v>
          </cell>
          <cell r="O63">
            <v>0</v>
          </cell>
          <cell r="P63">
            <v>540000</v>
          </cell>
          <cell r="Q63">
            <v>265000</v>
          </cell>
        </row>
        <row r="64">
          <cell r="A64" t="str">
            <v>SBAC</v>
          </cell>
          <cell r="B64" t="str">
            <v>AEROPORTO REGIONAL DE CANOA QUEBRADA DRAGÃO DO MAR</v>
          </cell>
          <cell r="C64" t="str">
            <v>CE0004_2301109</v>
          </cell>
          <cell r="D64" t="str">
            <v>ARACATI</v>
          </cell>
          <cell r="E64" t="str">
            <v>CE</v>
          </cell>
          <cell r="F64" t="str">
            <v>ü</v>
          </cell>
          <cell r="G64" t="str">
            <v>Adequação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3195000</v>
          </cell>
          <cell r="M64">
            <v>0</v>
          </cell>
          <cell r="N64">
            <v>0</v>
          </cell>
          <cell r="O64">
            <v>0</v>
          </cell>
          <cell r="P64">
            <v>815000</v>
          </cell>
          <cell r="Q64">
            <v>0</v>
          </cell>
        </row>
        <row r="65">
          <cell r="A65" t="str">
            <v>SBBW</v>
          </cell>
          <cell r="B65" t="str">
            <v>BARRA DO GARÇAS</v>
          </cell>
          <cell r="C65" t="str">
            <v>MT0008_5101803</v>
          </cell>
          <cell r="D65" t="str">
            <v>BARRA DO GARÇAS</v>
          </cell>
          <cell r="E65" t="str">
            <v>MT</v>
          </cell>
          <cell r="F65" t="str">
            <v>û</v>
          </cell>
        </row>
        <row r="66">
          <cell r="A66" t="str">
            <v>SBCB</v>
          </cell>
          <cell r="B66" t="str">
            <v>CABO FRIO</v>
          </cell>
          <cell r="C66" t="str">
            <v>RJ0003_3300704</v>
          </cell>
          <cell r="D66" t="str">
            <v>CABO FRIO</v>
          </cell>
          <cell r="E66" t="str">
            <v>RJ</v>
          </cell>
          <cell r="F66" t="str">
            <v>û</v>
          </cell>
        </row>
        <row r="67">
          <cell r="A67" t="str">
            <v>SBCH</v>
          </cell>
          <cell r="B67" t="str">
            <v>SERAFIN ENOSS BERTASO</v>
          </cell>
          <cell r="C67" t="str">
            <v>SC0003_4204202</v>
          </cell>
          <cell r="D67" t="str">
            <v>CHAPECÓ</v>
          </cell>
          <cell r="E67" t="str">
            <v>SC</v>
          </cell>
          <cell r="F67" t="str">
            <v>û</v>
          </cell>
        </row>
        <row r="68">
          <cell r="A68" t="str">
            <v>SBCP</v>
          </cell>
          <cell r="B68" t="str">
            <v>BARTOLOMEU LISANDRO</v>
          </cell>
          <cell r="C68" t="str">
            <v>RJ0006_3301009</v>
          </cell>
          <cell r="D68" t="str">
            <v>CAMPOS DOS GOYTACAZES</v>
          </cell>
          <cell r="E68" t="str">
            <v>RJ</v>
          </cell>
          <cell r="F68" t="str">
            <v>û</v>
          </cell>
        </row>
        <row r="69">
          <cell r="A69" t="str">
            <v>N759</v>
          </cell>
          <cell r="B69" t="str">
            <v>AEROPORTO PRÉ-PLANEJADO EM SEDE DE UTP</v>
          </cell>
          <cell r="C69" t="str">
            <v>RS-005_4305108</v>
          </cell>
          <cell r="D69" t="str">
            <v>CAXIAS DO SUL</v>
          </cell>
          <cell r="E69" t="str">
            <v>RS</v>
          </cell>
          <cell r="F69" t="str">
            <v>û</v>
          </cell>
        </row>
        <row r="70">
          <cell r="A70" t="str">
            <v>SBDB</v>
          </cell>
          <cell r="B70" t="str">
            <v>AERÓDROMO PÚBLICO DE BONITO</v>
          </cell>
          <cell r="C70" t="str">
            <v>MS0004_5002209</v>
          </cell>
          <cell r="D70" t="str">
            <v>BONITO</v>
          </cell>
          <cell r="E70" t="str">
            <v>MS</v>
          </cell>
          <cell r="F70" t="str">
            <v>û</v>
          </cell>
        </row>
        <row r="71">
          <cell r="A71" t="str">
            <v>SBDO</v>
          </cell>
          <cell r="B71" t="str">
            <v>DOURADOS</v>
          </cell>
          <cell r="C71" t="str">
            <v>MS0008_5003702</v>
          </cell>
          <cell r="D71" t="str">
            <v>DOURADOS</v>
          </cell>
          <cell r="E71" t="str">
            <v>MS</v>
          </cell>
          <cell r="F71" t="str">
            <v>û</v>
          </cell>
        </row>
        <row r="72">
          <cell r="A72" t="str">
            <v>SBFN</v>
          </cell>
          <cell r="B72" t="str">
            <v>FERNANDO DE NORONHA</v>
          </cell>
          <cell r="C72" t="str">
            <v>PE0003_2605459</v>
          </cell>
          <cell r="D72" t="str">
            <v>FERNANDO DE NORONHA</v>
          </cell>
          <cell r="E72" t="str">
            <v>PE</v>
          </cell>
          <cell r="F72" t="str">
            <v>û</v>
          </cell>
        </row>
        <row r="73">
          <cell r="A73" t="str">
            <v>SBIL</v>
          </cell>
          <cell r="B73" t="str">
            <v>BAHIA - JORGE AMADO</v>
          </cell>
          <cell r="C73" t="str">
            <v>BA0004_2913606</v>
          </cell>
          <cell r="D73" t="str">
            <v>ILHÉUS</v>
          </cell>
          <cell r="E73" t="str">
            <v>BA</v>
          </cell>
          <cell r="F73" t="str">
            <v>û</v>
          </cell>
        </row>
        <row r="74">
          <cell r="A74" t="str">
            <v>SBIP</v>
          </cell>
          <cell r="B74" t="str">
            <v>USIMINAS</v>
          </cell>
          <cell r="C74" t="str">
            <v>MG0007_3158953</v>
          </cell>
          <cell r="D74" t="str">
            <v>SANTANA DO PARAÍSO</v>
          </cell>
          <cell r="E74" t="str">
            <v>MG</v>
          </cell>
          <cell r="F74" t="str">
            <v>û</v>
          </cell>
        </row>
        <row r="75">
          <cell r="A75" t="str">
            <v>SBJE</v>
          </cell>
          <cell r="B75" t="str">
            <v>COMANDANTE ARISTON PESSOA</v>
          </cell>
          <cell r="C75" t="str">
            <v>CE0003_2304251</v>
          </cell>
          <cell r="D75" t="str">
            <v>CRUZ</v>
          </cell>
          <cell r="E75" t="str">
            <v>CE</v>
          </cell>
          <cell r="F75" t="str">
            <v>ü</v>
          </cell>
          <cell r="G75" t="str">
            <v>Adequação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8205000</v>
          </cell>
          <cell r="M75">
            <v>0</v>
          </cell>
          <cell r="N75">
            <v>0</v>
          </cell>
          <cell r="O75">
            <v>0</v>
          </cell>
          <cell r="P75">
            <v>645000</v>
          </cell>
          <cell r="Q75">
            <v>0</v>
          </cell>
        </row>
        <row r="76">
          <cell r="A76" t="str">
            <v>SBJI</v>
          </cell>
          <cell r="B76" t="str">
            <v>JI-PARANÁ</v>
          </cell>
          <cell r="C76" t="str">
            <v>RO0005_1100122</v>
          </cell>
          <cell r="D76" t="str">
            <v>JI-PARANÁ</v>
          </cell>
          <cell r="E76" t="str">
            <v>RO</v>
          </cell>
          <cell r="F76" t="str">
            <v>û</v>
          </cell>
        </row>
        <row r="77">
          <cell r="A77" t="str">
            <v>SBMD</v>
          </cell>
          <cell r="B77" t="str">
            <v>MONTE DOURADO</v>
          </cell>
          <cell r="C77" t="str">
            <v>PA0009_1500503</v>
          </cell>
          <cell r="D77" t="str">
            <v>ALMEIRIM</v>
          </cell>
          <cell r="E77" t="str">
            <v>PA</v>
          </cell>
          <cell r="F77" t="str">
            <v>û</v>
          </cell>
        </row>
        <row r="78">
          <cell r="A78" t="str">
            <v>SBMG</v>
          </cell>
          <cell r="B78" t="str">
            <v>SÍLVIO NAME JÚNIOR</v>
          </cell>
          <cell r="C78" t="str">
            <v>PR0004_4115200</v>
          </cell>
          <cell r="D78" t="str">
            <v>MARINGÁ</v>
          </cell>
          <cell r="E78" t="str">
            <v>PR</v>
          </cell>
          <cell r="F78" t="str">
            <v>û</v>
          </cell>
        </row>
        <row r="79">
          <cell r="A79" t="str">
            <v>SBMS</v>
          </cell>
          <cell r="B79" t="str">
            <v>DIX-SEPT ROSADO</v>
          </cell>
          <cell r="C79" t="str">
            <v>RN0002_2408003</v>
          </cell>
          <cell r="D79" t="str">
            <v>MOSSORÓ</v>
          </cell>
          <cell r="E79" t="str">
            <v>RN</v>
          </cell>
          <cell r="F79" t="str">
            <v>û</v>
          </cell>
        </row>
        <row r="80">
          <cell r="A80" t="str">
            <v>SBMY</v>
          </cell>
          <cell r="B80" t="str">
            <v>MANICORÉ</v>
          </cell>
          <cell r="C80" t="str">
            <v>AM0015_1302702</v>
          </cell>
          <cell r="D80" t="str">
            <v>MANICORÉ</v>
          </cell>
          <cell r="E80" t="str">
            <v>AM</v>
          </cell>
          <cell r="F80" t="str">
            <v>û</v>
          </cell>
        </row>
        <row r="81">
          <cell r="A81" t="str">
            <v>SBNM</v>
          </cell>
          <cell r="B81" t="str">
            <v>SANTO ÂNGELO</v>
          </cell>
          <cell r="C81" t="str">
            <v>RS0008_4317509</v>
          </cell>
          <cell r="D81" t="str">
            <v>SANTO ÂNGELO</v>
          </cell>
          <cell r="E81" t="str">
            <v>RS</v>
          </cell>
          <cell r="F81" t="str">
            <v>û</v>
          </cell>
        </row>
        <row r="82">
          <cell r="A82" t="str">
            <v>SBPB</v>
          </cell>
          <cell r="B82" t="str">
            <v>AEROPORTO INTERNACIONAL DE PARNAÍBA / PREFEITO DOUTOR JOÃO SILVA FILHO</v>
          </cell>
          <cell r="C82" t="str">
            <v>PI0002_2207702</v>
          </cell>
          <cell r="D82" t="str">
            <v>PARNAÍBA</v>
          </cell>
          <cell r="E82" t="str">
            <v>PI</v>
          </cell>
          <cell r="F82" t="str">
            <v>û</v>
          </cell>
        </row>
        <row r="83">
          <cell r="A83" t="str">
            <v>SBPF</v>
          </cell>
          <cell r="B83" t="str">
            <v>LAURO KURTZ</v>
          </cell>
          <cell r="C83" t="str">
            <v>RS0006_4314100</v>
          </cell>
          <cell r="D83" t="str">
            <v>PASSO FUNDO</v>
          </cell>
          <cell r="E83" t="str">
            <v>RS</v>
          </cell>
          <cell r="F83" t="str">
            <v>û</v>
          </cell>
        </row>
        <row r="84">
          <cell r="A84" t="str">
            <v>SBPG</v>
          </cell>
          <cell r="B84" t="str">
            <v>COMANDANTE ANTÔNIO AMILTON BERALDO</v>
          </cell>
          <cell r="C84" t="str">
            <v>PR0012_4119905</v>
          </cell>
          <cell r="D84" t="str">
            <v>PONTA GROSSA</v>
          </cell>
          <cell r="E84" t="str">
            <v>PR</v>
          </cell>
          <cell r="F84" t="str">
            <v>û</v>
          </cell>
        </row>
        <row r="85">
          <cell r="A85" t="str">
            <v>SBPO</v>
          </cell>
          <cell r="B85" t="str">
            <v>AEROPORTO REGIONAL DE PATO BRANCO - PROFESSOR JUVENAL LOUREIRO CARDOSO</v>
          </cell>
          <cell r="C85" t="str">
            <v>PR0018_4118501</v>
          </cell>
          <cell r="D85" t="str">
            <v>PATO BRANCO</v>
          </cell>
          <cell r="E85" t="str">
            <v>PR</v>
          </cell>
          <cell r="F85" t="str">
            <v>û</v>
          </cell>
        </row>
        <row r="86">
          <cell r="A86" t="str">
            <v>SBPS</v>
          </cell>
          <cell r="B86" t="str">
            <v>PORTO SEGURO</v>
          </cell>
          <cell r="C86" t="str">
            <v>BA0002_2925303</v>
          </cell>
          <cell r="D86" t="str">
            <v>PORTO SEGURO</v>
          </cell>
          <cell r="E86" t="str">
            <v>BA</v>
          </cell>
          <cell r="F86" t="str">
            <v>û</v>
          </cell>
        </row>
        <row r="87">
          <cell r="A87" t="str">
            <v>SBSJ</v>
          </cell>
          <cell r="B87" t="str">
            <v>PROFESSOR URBANO ERNESTO STUMPF</v>
          </cell>
          <cell r="C87" t="str">
            <v>SP0008_3549904</v>
          </cell>
          <cell r="D87" t="str">
            <v>SÃO JOSÉ DOS CAMPOS</v>
          </cell>
          <cell r="E87" t="str">
            <v>SP</v>
          </cell>
          <cell r="F87" t="str">
            <v>û</v>
          </cell>
        </row>
        <row r="88">
          <cell r="A88" t="str">
            <v>SBSO</v>
          </cell>
          <cell r="B88" t="str">
            <v>REGIONAL DE SORRISO ADOLINO BEDIN</v>
          </cell>
          <cell r="C88" t="str">
            <v>MT0005_5107925</v>
          </cell>
          <cell r="D88" t="str">
            <v>SORRISO</v>
          </cell>
          <cell r="E88" t="str">
            <v>MT</v>
          </cell>
          <cell r="F88" t="str">
            <v>û</v>
          </cell>
        </row>
        <row r="89">
          <cell r="A89" t="str">
            <v>SBTB</v>
          </cell>
          <cell r="B89" t="str">
            <v>TROMBETAS</v>
          </cell>
          <cell r="C89" t="str">
            <v>PA0012_1505304</v>
          </cell>
          <cell r="D89" t="str">
            <v>ORIXIMINÁ</v>
          </cell>
          <cell r="E89" t="str">
            <v>PA</v>
          </cell>
          <cell r="F89" t="str">
            <v>û</v>
          </cell>
        </row>
        <row r="90">
          <cell r="A90" t="str">
            <v>SBTG</v>
          </cell>
          <cell r="B90" t="str">
            <v>TRÊS LAGOAS</v>
          </cell>
          <cell r="C90" t="str">
            <v>MS0006_5008305</v>
          </cell>
          <cell r="D90" t="str">
            <v>TRÊS LAGOAS</v>
          </cell>
          <cell r="E90" t="str">
            <v>MS</v>
          </cell>
          <cell r="F90" t="str">
            <v>û</v>
          </cell>
        </row>
        <row r="91">
          <cell r="A91" t="str">
            <v>SBUA</v>
          </cell>
          <cell r="B91" t="str">
            <v>SÃO GABRIEL DA CACHOEIRA</v>
          </cell>
          <cell r="C91" t="str">
            <v>AM0003_1303809</v>
          </cell>
          <cell r="D91" t="str">
            <v>SÃO GABRIEL DA CACHOEIRA</v>
          </cell>
          <cell r="E91" t="str">
            <v>AM</v>
          </cell>
          <cell r="F91" t="str">
            <v>û</v>
          </cell>
        </row>
        <row r="92">
          <cell r="A92" t="str">
            <v>SBVH</v>
          </cell>
          <cell r="B92" t="str">
            <v>VILHENA</v>
          </cell>
          <cell r="C92" t="str">
            <v>RO0003_1100304</v>
          </cell>
          <cell r="D92" t="str">
            <v>VILHENA</v>
          </cell>
          <cell r="E92" t="str">
            <v>RO</v>
          </cell>
          <cell r="F92" t="str">
            <v>ü</v>
          </cell>
          <cell r="G92" t="str">
            <v>Adequação</v>
          </cell>
          <cell r="H92">
            <v>0</v>
          </cell>
          <cell r="I92">
            <v>800000</v>
          </cell>
          <cell r="J92">
            <v>0</v>
          </cell>
          <cell r="K92">
            <v>800000</v>
          </cell>
          <cell r="L92">
            <v>2620000</v>
          </cell>
          <cell r="M92">
            <v>0</v>
          </cell>
          <cell r="N92">
            <v>5820000</v>
          </cell>
          <cell r="O92">
            <v>0</v>
          </cell>
          <cell r="P92">
            <v>1470000</v>
          </cell>
          <cell r="Q92">
            <v>10000</v>
          </cell>
        </row>
        <row r="93">
          <cell r="A93" t="str">
            <v>SNBR</v>
          </cell>
          <cell r="B93" t="str">
            <v>DOM RICARDO WEBERBERGER</v>
          </cell>
          <cell r="C93" t="str">
            <v>BA0011_2903201</v>
          </cell>
          <cell r="D93" t="str">
            <v>BARREIRAS</v>
          </cell>
          <cell r="E93" t="str">
            <v>BA</v>
          </cell>
          <cell r="F93" t="str">
            <v>û</v>
          </cell>
        </row>
        <row r="94">
          <cell r="A94" t="str">
            <v>SNGI</v>
          </cell>
          <cell r="B94" t="str">
            <v>AERÓDROMO DE GUANAMBI</v>
          </cell>
          <cell r="C94" t="str">
            <v>BA0009_2911709</v>
          </cell>
          <cell r="D94" t="str">
            <v>GUANAMBI</v>
          </cell>
          <cell r="E94" t="str">
            <v>BA</v>
          </cell>
          <cell r="F94" t="str">
            <v>ü</v>
          </cell>
          <cell r="G94" t="str">
            <v>Adequação</v>
          </cell>
          <cell r="H94">
            <v>13610000</v>
          </cell>
          <cell r="I94">
            <v>0</v>
          </cell>
          <cell r="J94">
            <v>985000</v>
          </cell>
          <cell r="K94">
            <v>2645000</v>
          </cell>
          <cell r="L94">
            <v>6350000</v>
          </cell>
          <cell r="M94">
            <v>0</v>
          </cell>
          <cell r="N94">
            <v>12170000</v>
          </cell>
          <cell r="O94">
            <v>0</v>
          </cell>
          <cell r="P94">
            <v>1460000</v>
          </cell>
          <cell r="Q94">
            <v>20000</v>
          </cell>
        </row>
        <row r="95">
          <cell r="A95" t="str">
            <v>SNHS</v>
          </cell>
          <cell r="B95" t="str">
            <v>SANTA MAGALHÃES</v>
          </cell>
          <cell r="C95" t="str">
            <v>PE0005_2613909</v>
          </cell>
          <cell r="D95" t="str">
            <v>SERRA TALHADA</v>
          </cell>
          <cell r="E95" t="str">
            <v>PE</v>
          </cell>
          <cell r="F95" t="str">
            <v>ü</v>
          </cell>
          <cell r="G95" t="str">
            <v>Adequação</v>
          </cell>
          <cell r="H95">
            <v>0</v>
          </cell>
          <cell r="I95">
            <v>330000</v>
          </cell>
          <cell r="J95">
            <v>0</v>
          </cell>
          <cell r="K95">
            <v>760000</v>
          </cell>
          <cell r="L95">
            <v>6165000</v>
          </cell>
          <cell r="M95">
            <v>0</v>
          </cell>
          <cell r="N95">
            <v>3480000</v>
          </cell>
          <cell r="O95">
            <v>0</v>
          </cell>
          <cell r="P95">
            <v>405000</v>
          </cell>
          <cell r="Q95">
            <v>65000</v>
          </cell>
        </row>
        <row r="96">
          <cell r="A96" t="str">
            <v>SNRU</v>
          </cell>
          <cell r="B96" t="str">
            <v>CARUARU</v>
          </cell>
          <cell r="C96" t="str">
            <v>PE0004_2604106</v>
          </cell>
          <cell r="D96" t="str">
            <v>CARUARU</v>
          </cell>
          <cell r="E96" t="str">
            <v>PE</v>
          </cell>
          <cell r="F96" t="str">
            <v>û</v>
          </cell>
        </row>
        <row r="97">
          <cell r="A97" t="str">
            <v>SNTF</v>
          </cell>
          <cell r="B97" t="str">
            <v>TEIXEIRA DE FREITAS</v>
          </cell>
          <cell r="C97" t="str">
            <v>BA0016_2931350</v>
          </cell>
          <cell r="D97" t="str">
            <v>TEIXEIRA DE FREITAS</v>
          </cell>
          <cell r="E97" t="str">
            <v>BA</v>
          </cell>
          <cell r="F97" t="str">
            <v>û</v>
          </cell>
        </row>
        <row r="98">
          <cell r="A98" t="str">
            <v>SNVS</v>
          </cell>
          <cell r="B98" t="str">
            <v>BREVES</v>
          </cell>
          <cell r="C98" t="str">
            <v>PA0015_1501808</v>
          </cell>
          <cell r="D98" t="str">
            <v>BREVES</v>
          </cell>
          <cell r="E98" t="str">
            <v>PA</v>
          </cell>
          <cell r="F98" t="str">
            <v>û</v>
          </cell>
        </row>
        <row r="99">
          <cell r="A99" t="str">
            <v>SSGG</v>
          </cell>
          <cell r="B99" t="str">
            <v>AEROPORTO REGIONAL DE GUARAPUAVA - TANCREDO THOMÁS DE FARIA</v>
          </cell>
          <cell r="C99" t="str">
            <v>PR0009_4109401</v>
          </cell>
          <cell r="D99" t="str">
            <v>GUARAPUAVA</v>
          </cell>
          <cell r="E99" t="str">
            <v>PR</v>
          </cell>
          <cell r="F99" t="str">
            <v>û</v>
          </cell>
        </row>
        <row r="100">
          <cell r="A100" t="str">
            <v>SSKW</v>
          </cell>
          <cell r="B100" t="str">
            <v>CACOAL</v>
          </cell>
          <cell r="C100" t="str">
            <v>RO0004_1100049</v>
          </cell>
          <cell r="D100" t="str">
            <v>CACOAL</v>
          </cell>
          <cell r="E100" t="str">
            <v>RO</v>
          </cell>
          <cell r="F100" t="str">
            <v>ü</v>
          </cell>
          <cell r="G100" t="str">
            <v>Adequação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4985000</v>
          </cell>
          <cell r="M100">
            <v>0</v>
          </cell>
          <cell r="N100">
            <v>3010000</v>
          </cell>
          <cell r="O100">
            <v>0</v>
          </cell>
          <cell r="P100">
            <v>315000</v>
          </cell>
          <cell r="Q100">
            <v>0</v>
          </cell>
        </row>
        <row r="101">
          <cell r="A101" t="str">
            <v>SBVC</v>
          </cell>
          <cell r="B101" t="str">
            <v>GLAUBER DE ANDRADE ROCHA</v>
          </cell>
          <cell r="C101" t="str">
            <v>BA0005_2933307</v>
          </cell>
          <cell r="D101" t="str">
            <v>VITÓRIA DA CONQUISTA</v>
          </cell>
          <cell r="E101" t="str">
            <v>BA</v>
          </cell>
          <cell r="F101" t="str">
            <v>û</v>
          </cell>
        </row>
        <row r="102">
          <cell r="A102" t="str">
            <v>SWCA</v>
          </cell>
          <cell r="B102" t="str">
            <v>CARAUARI</v>
          </cell>
          <cell r="C102" t="str">
            <v>AM0007_1301001</v>
          </cell>
          <cell r="D102" t="str">
            <v>CARAUARI</v>
          </cell>
          <cell r="E102" t="str">
            <v>AM</v>
          </cell>
          <cell r="F102" t="str">
            <v>û</v>
          </cell>
        </row>
        <row r="103">
          <cell r="A103" t="str">
            <v>SWEI</v>
          </cell>
          <cell r="B103" t="str">
            <v>EIRUNEPÉ</v>
          </cell>
          <cell r="C103" t="str">
            <v>AM0009_1301407</v>
          </cell>
          <cell r="D103" t="str">
            <v>EIRUNEPÉ</v>
          </cell>
          <cell r="E103" t="str">
            <v>AM</v>
          </cell>
          <cell r="F103" t="str">
            <v>û</v>
          </cell>
        </row>
        <row r="104">
          <cell r="A104" t="str">
            <v>SWGN</v>
          </cell>
          <cell r="B104" t="str">
            <v>ARAGUAÍNA</v>
          </cell>
          <cell r="C104" t="str">
            <v>TO0002_1702109</v>
          </cell>
          <cell r="D104" t="str">
            <v>ARAGUAÍNA</v>
          </cell>
          <cell r="E104" t="str">
            <v>TO</v>
          </cell>
          <cell r="F104" t="str">
            <v>ü</v>
          </cell>
          <cell r="G104" t="str">
            <v>Adequação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6515000</v>
          </cell>
          <cell r="M104">
            <v>0</v>
          </cell>
          <cell r="N104">
            <v>3035000</v>
          </cell>
          <cell r="O104">
            <v>0</v>
          </cell>
          <cell r="P104">
            <v>1085000</v>
          </cell>
          <cell r="Q104">
            <v>0</v>
          </cell>
        </row>
        <row r="105">
          <cell r="A105" t="str">
            <v>SWJN</v>
          </cell>
          <cell r="B105" t="str">
            <v>JUÍNA</v>
          </cell>
          <cell r="C105" t="str">
            <v>MT0007_5105150</v>
          </cell>
          <cell r="D105" t="str">
            <v>JUÍNA</v>
          </cell>
          <cell r="E105" t="str">
            <v>MT</v>
          </cell>
          <cell r="F105" t="str">
            <v>û</v>
          </cell>
        </row>
        <row r="106">
          <cell r="A106" t="str">
            <v>SWKO</v>
          </cell>
          <cell r="B106" t="str">
            <v>COARI</v>
          </cell>
          <cell r="C106" t="str">
            <v>AM0010_1301209</v>
          </cell>
          <cell r="D106" t="str">
            <v>COARI</v>
          </cell>
          <cell r="E106" t="str">
            <v>AM</v>
          </cell>
          <cell r="F106" t="str">
            <v>û</v>
          </cell>
        </row>
        <row r="107">
          <cell r="A107" t="str">
            <v>SWLB</v>
          </cell>
          <cell r="B107" t="str">
            <v>LÁBREA</v>
          </cell>
          <cell r="C107" t="str">
            <v>AM0024_1302405</v>
          </cell>
          <cell r="D107" t="str">
            <v>LÁBREA</v>
          </cell>
          <cell r="E107" t="str">
            <v>AM</v>
          </cell>
          <cell r="F107" t="str">
            <v>û</v>
          </cell>
        </row>
        <row r="108">
          <cell r="A108" t="str">
            <v>N935</v>
          </cell>
          <cell r="B108" t="str">
            <v>AEROPORTO PRÉ-PLANEJADO EM SEDE DE UTP</v>
          </cell>
          <cell r="C108" t="str">
            <v>GO-014_5218805</v>
          </cell>
          <cell r="D108" t="str">
            <v>RIO VERDE</v>
          </cell>
          <cell r="E108" t="str">
            <v>GO</v>
          </cell>
          <cell r="F108" t="str">
            <v>û</v>
          </cell>
        </row>
        <row r="109">
          <cell r="A109" t="str">
            <v>SWMW</v>
          </cell>
          <cell r="B109" t="str">
            <v>MAUÉS</v>
          </cell>
          <cell r="C109" t="str">
            <v>AM0020_1302900</v>
          </cell>
          <cell r="D109" t="str">
            <v>MAUÉS</v>
          </cell>
          <cell r="E109" t="str">
            <v>AM</v>
          </cell>
          <cell r="F109" t="str">
            <v>û</v>
          </cell>
        </row>
        <row r="110">
          <cell r="A110" t="str">
            <v>SWPI</v>
          </cell>
          <cell r="B110" t="str">
            <v>PARINTINS</v>
          </cell>
          <cell r="C110" t="str">
            <v>AM0006_1303403</v>
          </cell>
          <cell r="D110" t="str">
            <v>PARINTINS</v>
          </cell>
          <cell r="E110" t="str">
            <v>AM</v>
          </cell>
          <cell r="F110" t="str">
            <v>ü</v>
          </cell>
          <cell r="G110" t="str">
            <v>Adequação</v>
          </cell>
          <cell r="H110">
            <v>17590000</v>
          </cell>
          <cell r="I110">
            <v>825000</v>
          </cell>
          <cell r="J110">
            <v>0</v>
          </cell>
          <cell r="K110">
            <v>1195000</v>
          </cell>
          <cell r="L110">
            <v>9310000</v>
          </cell>
          <cell r="M110">
            <v>0</v>
          </cell>
          <cell r="N110">
            <v>6975000</v>
          </cell>
          <cell r="O110">
            <v>0</v>
          </cell>
          <cell r="P110">
            <v>1710000</v>
          </cell>
          <cell r="Q110">
            <v>0</v>
          </cell>
        </row>
        <row r="111">
          <cell r="A111" t="str">
            <v>SWTS</v>
          </cell>
          <cell r="B111" t="str">
            <v>TANGARÁ DA SERRA</v>
          </cell>
          <cell r="C111" t="str">
            <v>MT0012_5107958</v>
          </cell>
          <cell r="D111" t="str">
            <v>TANGARÁ DA SERRA</v>
          </cell>
          <cell r="E111" t="str">
            <v>MT</v>
          </cell>
          <cell r="F111" t="str">
            <v>û</v>
          </cell>
        </row>
        <row r="112">
          <cell r="A112" t="str">
            <v>SNPU</v>
          </cell>
          <cell r="B112" t="str">
            <v>COMANDANTE VIRGILIO BORIM</v>
          </cell>
          <cell r="C112" t="str">
            <v>MG0073_3147204</v>
          </cell>
          <cell r="D112" t="str">
            <v>PARAGUAÇU</v>
          </cell>
          <cell r="E112" t="str">
            <v>MG</v>
          </cell>
          <cell r="F112" t="str">
            <v>û</v>
          </cell>
        </row>
        <row r="113">
          <cell r="A113" t="str">
            <v>SNVI</v>
          </cell>
          <cell r="B113" t="str">
            <v>MELLO VIANA</v>
          </cell>
          <cell r="C113" t="str">
            <v>MG0035_3169307</v>
          </cell>
          <cell r="D113" t="str">
            <v>TRÊS CORAÇÕES</v>
          </cell>
          <cell r="E113" t="str">
            <v>MG</v>
          </cell>
          <cell r="F113" t="str">
            <v>û</v>
          </cell>
        </row>
        <row r="114">
          <cell r="A114" t="str">
            <v>N472</v>
          </cell>
          <cell r="B114" t="str">
            <v>AEROPORTO PRÉ-PLANEJADO FORA DE SEDE DE UTP</v>
          </cell>
          <cell r="C114" t="str">
            <v>MG-019_3139003</v>
          </cell>
          <cell r="D114" t="str">
            <v>MACHADO</v>
          </cell>
          <cell r="E114" t="str">
            <v>MG</v>
          </cell>
          <cell r="F114" t="str">
            <v>û</v>
          </cell>
        </row>
        <row r="115">
          <cell r="A115" t="str">
            <v>SSOL</v>
          </cell>
          <cell r="B115" t="str">
            <v>PADRE ISRAEL (ISRAEL BATISTA DE CARVALHO)</v>
          </cell>
          <cell r="C115" t="str">
            <v>MG0027_3138203</v>
          </cell>
          <cell r="D115" t="str">
            <v>LAVRAS</v>
          </cell>
          <cell r="E115" t="str">
            <v>MG</v>
          </cell>
          <cell r="F115" t="str">
            <v>û</v>
          </cell>
        </row>
        <row r="116">
          <cell r="A116" t="str">
            <v>SNFE</v>
          </cell>
          <cell r="B116" t="str">
            <v>COMANDANTE PASCHOAL PATROCÍNIO FILHO</v>
          </cell>
          <cell r="C116" t="str">
            <v>MG0012_3101607</v>
          </cell>
          <cell r="D116" t="str">
            <v>ALFENAS</v>
          </cell>
          <cell r="E116" t="str">
            <v>MG</v>
          </cell>
          <cell r="F116" t="str">
            <v>û</v>
          </cell>
        </row>
        <row r="117">
          <cell r="A117" t="str">
            <v>N516</v>
          </cell>
          <cell r="B117" t="str">
            <v>AEROPORTO PRÉ-PLANEJADO FORA DE SEDE DE UTP</v>
          </cell>
          <cell r="C117" t="str">
            <v>MG-035_3159902</v>
          </cell>
          <cell r="D117" t="str">
            <v>SANTO ANTÔNIO DO AMPARO</v>
          </cell>
          <cell r="E117" t="str">
            <v>MG</v>
          </cell>
          <cell r="F117" t="str">
            <v>û</v>
          </cell>
        </row>
        <row r="118">
          <cell r="A118" t="str">
            <v>N814</v>
          </cell>
          <cell r="B118" t="str">
            <v>AEROPORTO PRÉ-PLANEJADO EM SEDE DE UTP</v>
          </cell>
          <cell r="C118" t="str">
            <v>CE-009_2312205</v>
          </cell>
          <cell r="D118" t="str">
            <v>SANTA QUITÉRIA</v>
          </cell>
          <cell r="E118" t="str">
            <v>CE</v>
          </cell>
          <cell r="F118" t="str">
            <v>û</v>
          </cell>
        </row>
        <row r="119">
          <cell r="A119" t="str">
            <v>SJXI</v>
          </cell>
          <cell r="B119" t="str">
            <v>SANTA RITA DO SAPUCAÍ</v>
          </cell>
          <cell r="C119" t="str">
            <v>MG0311_3159605</v>
          </cell>
          <cell r="D119" t="str">
            <v>SANTA RITA DO SAPUCAÍ</v>
          </cell>
          <cell r="E119" t="str">
            <v>MG</v>
          </cell>
          <cell r="F119" t="str">
            <v>û</v>
          </cell>
        </row>
        <row r="120">
          <cell r="A120" t="str">
            <v>SNLO</v>
          </cell>
          <cell r="B120" t="str">
            <v>SÃO LOURENÇO</v>
          </cell>
          <cell r="C120" t="str">
            <v>MG0037_3163706</v>
          </cell>
          <cell r="D120" t="str">
            <v>SÃO LOURENÇO</v>
          </cell>
          <cell r="E120" t="str">
            <v>MG</v>
          </cell>
          <cell r="F120" t="str">
            <v>û</v>
          </cell>
        </row>
        <row r="121">
          <cell r="A121" t="str">
            <v>SNXB</v>
          </cell>
          <cell r="B121" t="str">
            <v>CAXAMBU</v>
          </cell>
          <cell r="C121" t="str">
            <v>MG0025_3115508</v>
          </cell>
          <cell r="D121" t="str">
            <v>CAXAMBU</v>
          </cell>
          <cell r="E121" t="str">
            <v>MG</v>
          </cell>
          <cell r="F121" t="str">
            <v>û</v>
          </cell>
        </row>
        <row r="122">
          <cell r="A122" t="str">
            <v>N432</v>
          </cell>
          <cell r="B122" t="str">
            <v>AEROPORTO PRÉ-PLANEJADO EM SEDE DE UTP</v>
          </cell>
          <cell r="C122" t="str">
            <v>MG-010_3111309</v>
          </cell>
          <cell r="D122" t="str">
            <v>CAMPO DO MEIO</v>
          </cell>
          <cell r="E122" t="str">
            <v>MG</v>
          </cell>
          <cell r="F122" t="str">
            <v>û</v>
          </cell>
        </row>
        <row r="123">
          <cell r="A123" t="str">
            <v>N298</v>
          </cell>
          <cell r="B123" t="str">
            <v>AEROPORTO PRÉ-PLANEJADO EM SEDE DE UTP</v>
          </cell>
          <cell r="C123" t="str">
            <v>MG-023_3145208</v>
          </cell>
          <cell r="D123" t="str">
            <v>NOVA SERRANA</v>
          </cell>
          <cell r="E123" t="str">
            <v>MG</v>
          </cell>
          <cell r="F123" t="str">
            <v>û</v>
          </cell>
        </row>
        <row r="124">
          <cell r="A124" t="str">
            <v>SDJV</v>
          </cell>
          <cell r="B124" t="str">
            <v>SÃO JOÃO DA BOA VISTA</v>
          </cell>
          <cell r="C124" t="str">
            <v>SP0035_3549102</v>
          </cell>
          <cell r="D124" t="str">
            <v>SÃO JOÃO DA BOA VISTA</v>
          </cell>
          <cell r="E124" t="str">
            <v>SP</v>
          </cell>
          <cell r="F124" t="str">
            <v>û</v>
          </cell>
        </row>
        <row r="125">
          <cell r="A125" t="str">
            <v>SNCA</v>
          </cell>
          <cell r="B125" t="str">
            <v>CAMPO BELO</v>
          </cell>
          <cell r="C125" t="str">
            <v>MG0031_3111200</v>
          </cell>
          <cell r="D125" t="str">
            <v>CAMPO BELO</v>
          </cell>
          <cell r="E125" t="str">
            <v>MG</v>
          </cell>
          <cell r="F125" t="str">
            <v>û</v>
          </cell>
        </row>
        <row r="126">
          <cell r="A126" t="str">
            <v>N214</v>
          </cell>
          <cell r="B126" t="str">
            <v>AEROPORTO PRÉ-PLANEJADO EM SEDE DE UTP</v>
          </cell>
          <cell r="C126" t="str">
            <v>MG-014_3132404</v>
          </cell>
          <cell r="D126" t="str">
            <v>ITAJUBÁ</v>
          </cell>
          <cell r="E126" t="str">
            <v>MG</v>
          </cell>
          <cell r="F126" t="str">
            <v>û</v>
          </cell>
        </row>
        <row r="127">
          <cell r="A127" t="str">
            <v>SNFO</v>
          </cell>
          <cell r="B127" t="str">
            <v>FORMIGA</v>
          </cell>
          <cell r="C127" t="str">
            <v>MG0060_3126109</v>
          </cell>
          <cell r="D127" t="str">
            <v>FORMIGA</v>
          </cell>
          <cell r="E127" t="str">
            <v>MG</v>
          </cell>
          <cell r="F127" t="str">
            <v>û</v>
          </cell>
        </row>
        <row r="128">
          <cell r="A128" t="str">
            <v>N357</v>
          </cell>
          <cell r="B128" t="str">
            <v>AEROPORTO PRÉ-PLANEJADO EM SEDE DE UTP</v>
          </cell>
          <cell r="C128" t="str">
            <v>MG-029_3152600</v>
          </cell>
          <cell r="D128" t="str">
            <v>POUSO ALTO</v>
          </cell>
          <cell r="E128" t="str">
            <v>MG</v>
          </cell>
          <cell r="F128" t="str">
            <v>û</v>
          </cell>
        </row>
        <row r="129">
          <cell r="A129" t="str">
            <v>SBPC</v>
          </cell>
          <cell r="B129" t="str">
            <v>EMBAIXADOR WALTHER MOREIRA SALLES</v>
          </cell>
          <cell r="C129" t="str">
            <v>MG0018_3151800</v>
          </cell>
          <cell r="D129" t="str">
            <v>POÇOS DE CALDAS</v>
          </cell>
          <cell r="E129" t="str">
            <v>MG</v>
          </cell>
          <cell r="F129" t="str">
            <v>û</v>
          </cell>
        </row>
        <row r="130">
          <cell r="A130" t="str">
            <v>N240</v>
          </cell>
          <cell r="B130" t="str">
            <v>AEROPORTO PRÉ-PLANEJADO EM SEDE DE UTP</v>
          </cell>
          <cell r="C130" t="str">
            <v>MG-016_3136207</v>
          </cell>
          <cell r="D130" t="str">
            <v>JOÃO MONLEVADE</v>
          </cell>
          <cell r="E130" t="str">
            <v>MG</v>
          </cell>
          <cell r="F130" t="str">
            <v>û</v>
          </cell>
        </row>
        <row r="131">
          <cell r="A131" t="str">
            <v>N848</v>
          </cell>
          <cell r="B131" t="str">
            <v>AEROPORTO PRÉ-PLANEJADO EM SEDE DE UTP</v>
          </cell>
          <cell r="C131" t="str">
            <v>CE-010_2312700</v>
          </cell>
          <cell r="D131" t="str">
            <v>SENADOR POMPEU</v>
          </cell>
          <cell r="E131" t="str">
            <v>CE</v>
          </cell>
          <cell r="F131" t="str">
            <v>û</v>
          </cell>
        </row>
        <row r="132">
          <cell r="A132" t="str">
            <v>SDKK</v>
          </cell>
          <cell r="B132" t="str">
            <v>MOCOCA</v>
          </cell>
          <cell r="C132" t="str">
            <v>SP0058_3530508</v>
          </cell>
          <cell r="D132" t="str">
            <v>MOCOCA</v>
          </cell>
          <cell r="E132" t="str">
            <v>SP</v>
          </cell>
          <cell r="F132" t="str">
            <v>û</v>
          </cell>
        </row>
        <row r="133">
          <cell r="A133" t="str">
            <v>N430</v>
          </cell>
          <cell r="B133" t="str">
            <v>AEROPORTO PRÉ-PLANEJADO EM SEDE DE UTP</v>
          </cell>
          <cell r="C133" t="str">
            <v>MG-037_3167004</v>
          </cell>
          <cell r="D133" t="str">
            <v>SERRANOS</v>
          </cell>
          <cell r="E133" t="str">
            <v>MG</v>
          </cell>
          <cell r="F133" t="str">
            <v>û</v>
          </cell>
        </row>
        <row r="134">
          <cell r="A134" t="str">
            <v>SNGX</v>
          </cell>
          <cell r="B134" t="str">
            <v>GUAXUPÉ</v>
          </cell>
          <cell r="C134" t="str">
            <v>MG0023_3128709</v>
          </cell>
          <cell r="D134" t="str">
            <v>GUAXUPÉ</v>
          </cell>
          <cell r="E134" t="str">
            <v>MG</v>
          </cell>
          <cell r="F134" t="str">
            <v>û</v>
          </cell>
        </row>
        <row r="135">
          <cell r="A135" t="str">
            <v>SNRZ</v>
          </cell>
          <cell r="B135" t="str">
            <v>OLIVEIRA</v>
          </cell>
          <cell r="C135" t="str">
            <v>MG0049_3145604</v>
          </cell>
          <cell r="D135" t="str">
            <v>OLIVEIRA</v>
          </cell>
          <cell r="E135" t="str">
            <v>MG</v>
          </cell>
          <cell r="F135" t="str">
            <v>û</v>
          </cell>
        </row>
        <row r="136">
          <cell r="A136" t="str">
            <v>SSCB</v>
          </cell>
          <cell r="B136" t="str">
            <v>MUNICIPAL DE CASA BRANCA</v>
          </cell>
          <cell r="C136" t="str">
            <v>SP0044_3510807</v>
          </cell>
          <cell r="D136" t="str">
            <v>CASA BRANCA</v>
          </cell>
          <cell r="E136" t="str">
            <v>SP</v>
          </cell>
          <cell r="F136" t="str">
            <v>û</v>
          </cell>
        </row>
        <row r="137">
          <cell r="A137" t="str">
            <v>SBYS</v>
          </cell>
          <cell r="B137" t="str">
            <v>CAMPO FONTENELLE</v>
          </cell>
          <cell r="C137" t="str">
            <v>SP9002_3539301</v>
          </cell>
          <cell r="D137" t="str">
            <v>Pirassununga</v>
          </cell>
          <cell r="E137" t="str">
            <v>SP</v>
          </cell>
          <cell r="F137" t="str">
            <v>û</v>
          </cell>
        </row>
        <row r="138">
          <cell r="A138" t="str">
            <v>SNJR</v>
          </cell>
          <cell r="B138" t="str">
            <v>PREFEITO OCTÁVIO DE ALMEIDA NEVES</v>
          </cell>
          <cell r="C138" t="str">
            <v>MG0034_3162500</v>
          </cell>
          <cell r="D138" t="str">
            <v>SÃO JOÃO DEL REI</v>
          </cell>
          <cell r="E138" t="str">
            <v>MG</v>
          </cell>
          <cell r="F138" t="str">
            <v>û</v>
          </cell>
        </row>
        <row r="139">
          <cell r="A139" t="str">
            <v>SNLI</v>
          </cell>
          <cell r="B139" t="str">
            <v>ABAETÉ</v>
          </cell>
          <cell r="C139" t="str">
            <v>MG0040_3100203</v>
          </cell>
          <cell r="D139" t="str">
            <v>ABAETÉ</v>
          </cell>
          <cell r="E139" t="str">
            <v>MG</v>
          </cell>
          <cell r="F139" t="str">
            <v>û</v>
          </cell>
        </row>
        <row r="140">
          <cell r="A140" t="str">
            <v>SSCT</v>
          </cell>
          <cell r="B140" t="str">
            <v>ENGENHEIRO GASTÃO DE MESQUITA FILHO</v>
          </cell>
          <cell r="C140" t="str">
            <v>PR0025_4105508</v>
          </cell>
          <cell r="D140" t="str">
            <v>CIANORTE</v>
          </cell>
          <cell r="E140" t="str">
            <v>PR</v>
          </cell>
          <cell r="F140" t="str">
            <v>û</v>
          </cell>
        </row>
        <row r="141">
          <cell r="A141" t="str">
            <v>SDPY</v>
          </cell>
          <cell r="B141" t="str">
            <v>PIRASSUNUNGA</v>
          </cell>
          <cell r="C141" t="str">
            <v>SP0066_3539301</v>
          </cell>
          <cell r="D141" t="str">
            <v>PIRASSUNUNGA</v>
          </cell>
          <cell r="E141" t="str">
            <v>SP</v>
          </cell>
          <cell r="F141" t="str">
            <v>û</v>
          </cell>
        </row>
        <row r="142">
          <cell r="A142" t="str">
            <v>SNUH</v>
          </cell>
          <cell r="B142" t="str">
            <v>PIUMHI</v>
          </cell>
          <cell r="C142" t="str">
            <v>MG0054_3151503</v>
          </cell>
          <cell r="D142" t="str">
            <v>PIUMHI</v>
          </cell>
          <cell r="E142" t="str">
            <v>MG</v>
          </cell>
          <cell r="F142" t="str">
            <v>û</v>
          </cell>
        </row>
        <row r="143">
          <cell r="A143" t="str">
            <v>SDZ6</v>
          </cell>
          <cell r="B143" t="str">
            <v>ALDEIA KUMARUMÃ</v>
          </cell>
          <cell r="C143" t="str">
            <v>AP0021_1600501</v>
          </cell>
          <cell r="D143" t="str">
            <v>OIAPOQUE</v>
          </cell>
          <cell r="E143" t="str">
            <v>AP</v>
          </cell>
          <cell r="F143" t="str">
            <v>û</v>
          </cell>
        </row>
        <row r="144">
          <cell r="A144" t="str">
            <v>SJ3F</v>
          </cell>
          <cell r="B144" t="str">
            <v>ALDEIA KUMENÊ</v>
          </cell>
          <cell r="C144" t="str">
            <v>AP0022_1600501</v>
          </cell>
          <cell r="D144" t="str">
            <v>OIAPOQUE</v>
          </cell>
          <cell r="E144" t="str">
            <v>AP</v>
          </cell>
          <cell r="F144" t="str">
            <v>û</v>
          </cell>
        </row>
        <row r="145">
          <cell r="A145" t="str">
            <v>SSGW</v>
          </cell>
          <cell r="B145" t="str">
            <v>MANOEL RIBAS</v>
          </cell>
          <cell r="C145" t="str">
            <v>PR0037_4108601</v>
          </cell>
          <cell r="D145" t="str">
            <v>GOIOERÊ</v>
          </cell>
          <cell r="E145" t="str">
            <v>PR</v>
          </cell>
          <cell r="F145" t="str">
            <v>û</v>
          </cell>
        </row>
        <row r="146">
          <cell r="A146" t="str">
            <v>N530</v>
          </cell>
          <cell r="B146" t="str">
            <v>AEROPORTO PRÉ-PLANEJADO EM SEDE DE UTP</v>
          </cell>
          <cell r="C146" t="str">
            <v>CE-001_2302404</v>
          </cell>
          <cell r="D146" t="str">
            <v>BOA VIAGEM</v>
          </cell>
          <cell r="E146" t="str">
            <v>CE</v>
          </cell>
          <cell r="F146" t="str">
            <v>û</v>
          </cell>
        </row>
        <row r="147">
          <cell r="A147" t="str">
            <v>SDLL</v>
          </cell>
          <cell r="B147" t="str">
            <v>YOLANDA PENTEADO</v>
          </cell>
          <cell r="C147" t="str">
            <v>SP0048_3526704</v>
          </cell>
          <cell r="D147" t="str">
            <v>LEME</v>
          </cell>
          <cell r="E147" t="str">
            <v>SP</v>
          </cell>
          <cell r="F147" t="str">
            <v>û</v>
          </cell>
        </row>
        <row r="148">
          <cell r="A148" t="str">
            <v>N682</v>
          </cell>
          <cell r="B148" t="str">
            <v>AEROPORTO PRÉ-PLANEJADO EM SEDE DE UTP</v>
          </cell>
          <cell r="C148" t="str">
            <v>PB-007_2507705</v>
          </cell>
          <cell r="D148" t="str">
            <v>JUAZEIRINHO</v>
          </cell>
          <cell r="E148" t="str">
            <v>PB</v>
          </cell>
          <cell r="F148" t="str">
            <v>û</v>
          </cell>
        </row>
        <row r="149">
          <cell r="A149" t="str">
            <v>N520</v>
          </cell>
          <cell r="B149" t="str">
            <v>AEROPORTO PRÉ-PLANEJADO EM SEDE DE UTP</v>
          </cell>
          <cell r="C149" t="str">
            <v>MG-003_3105103</v>
          </cell>
          <cell r="D149" t="str">
            <v>BAMBUÍ</v>
          </cell>
          <cell r="E149" t="str">
            <v>MG</v>
          </cell>
          <cell r="F149" t="str">
            <v>û</v>
          </cell>
        </row>
        <row r="150">
          <cell r="A150" t="str">
            <v>SSKM</v>
          </cell>
          <cell r="B150" t="str">
            <v>CAMPO MOURÃO</v>
          </cell>
          <cell r="C150" t="str">
            <v>PR0017_4104303</v>
          </cell>
          <cell r="D150" t="str">
            <v>CAMPO MOURÃO</v>
          </cell>
          <cell r="E150" t="str">
            <v>PR</v>
          </cell>
          <cell r="F150" t="str">
            <v>û</v>
          </cell>
        </row>
        <row r="151">
          <cell r="A151" t="str">
            <v>N091</v>
          </cell>
          <cell r="B151" t="str">
            <v>AEROPORTO PRÉ-PLANEJADO EM SEDE DE UTP</v>
          </cell>
          <cell r="C151" t="str">
            <v>MG-008_3110608</v>
          </cell>
          <cell r="D151" t="str">
            <v>CAMBUÍ</v>
          </cell>
          <cell r="E151" t="str">
            <v>MG</v>
          </cell>
          <cell r="F151" t="str">
            <v>û</v>
          </cell>
        </row>
        <row r="152">
          <cell r="A152" t="str">
            <v>N799</v>
          </cell>
          <cell r="B152" t="str">
            <v>AEROPORTO PRÉ-PLANEJADO EM SEDE DE UTP</v>
          </cell>
          <cell r="C152" t="str">
            <v>RR-005_1400472</v>
          </cell>
          <cell r="D152" t="str">
            <v>RORAINÓPOLIS</v>
          </cell>
          <cell r="E152" t="str">
            <v>RR</v>
          </cell>
          <cell r="F152" t="str">
            <v>û</v>
          </cell>
        </row>
        <row r="153">
          <cell r="A153" t="str">
            <v>SWRD</v>
          </cell>
          <cell r="B153" t="str">
            <v>CHÁCARA RONDOAGRO</v>
          </cell>
          <cell r="C153" t="str">
            <v>RO0033_1100320</v>
          </cell>
          <cell r="D153" t="str">
            <v>SÃO MIGUEL DO GUAPORÉ</v>
          </cell>
          <cell r="E153" t="str">
            <v>RO</v>
          </cell>
          <cell r="F153" t="str">
            <v>û</v>
          </cell>
        </row>
        <row r="154">
          <cell r="A154" t="str">
            <v>N510</v>
          </cell>
          <cell r="B154" t="str">
            <v>AEROPORTO PRÉ-PLANEJADO EM SEDE DE UTP</v>
          </cell>
          <cell r="C154" t="str">
            <v>TO-001_1702000</v>
          </cell>
          <cell r="D154" t="str">
            <v>ARAGUAÇU</v>
          </cell>
          <cell r="E154" t="str">
            <v>TO</v>
          </cell>
          <cell r="F154" t="str">
            <v>û</v>
          </cell>
        </row>
        <row r="155">
          <cell r="A155" t="str">
            <v>N139</v>
          </cell>
          <cell r="B155" t="str">
            <v>AEROPORTO PRÉ-PLANEJADO EM SEDE DE UTP</v>
          </cell>
          <cell r="C155" t="str">
            <v>AP-001_1600105</v>
          </cell>
          <cell r="D155" t="str">
            <v>AMAPÁ</v>
          </cell>
          <cell r="E155" t="str">
            <v>AP</v>
          </cell>
          <cell r="F155" t="str">
            <v>û</v>
          </cell>
        </row>
        <row r="156">
          <cell r="A156" t="str">
            <v>N137</v>
          </cell>
          <cell r="B156" t="str">
            <v>AEROPORTO PRÉ-PLANEJADO EM SEDE DE UTP</v>
          </cell>
          <cell r="C156" t="str">
            <v>SP-008_3513405</v>
          </cell>
          <cell r="D156" t="str">
            <v>CRUZEIRO</v>
          </cell>
          <cell r="E156" t="str">
            <v>SP</v>
          </cell>
          <cell r="F156" t="str">
            <v>û</v>
          </cell>
        </row>
        <row r="157">
          <cell r="A157" t="str">
            <v>N876</v>
          </cell>
          <cell r="B157" t="str">
            <v>AEROPORTO PRÉ-PLANEJADO EM SEDE DE UTP</v>
          </cell>
          <cell r="C157" t="str">
            <v>PA-023_1508159</v>
          </cell>
          <cell r="D157" t="str">
            <v>URUARÁ</v>
          </cell>
          <cell r="E157" t="str">
            <v>PA</v>
          </cell>
          <cell r="F157" t="str">
            <v>û</v>
          </cell>
        </row>
        <row r="158">
          <cell r="A158" t="str">
            <v>N546</v>
          </cell>
          <cell r="B158" t="str">
            <v>AEROPORTO PRÉ-PLANEJADO EM SEDE DE UTP</v>
          </cell>
          <cell r="C158" t="str">
            <v>RO-002_1100452</v>
          </cell>
          <cell r="D158" t="str">
            <v>BURITIS</v>
          </cell>
          <cell r="E158" t="str">
            <v>RO</v>
          </cell>
          <cell r="F158" t="str">
            <v>û</v>
          </cell>
        </row>
        <row r="159">
          <cell r="A159" t="str">
            <v>SNOU</v>
          </cell>
          <cell r="B159" t="str">
            <v>NOVO AERÓDROMO DE FEIJÓ</v>
          </cell>
          <cell r="C159" t="str">
            <v>AC0003_1200302</v>
          </cell>
          <cell r="D159" t="str">
            <v>FEIJÓ</v>
          </cell>
          <cell r="E159" t="str">
            <v>AC</v>
          </cell>
          <cell r="F159" t="str">
            <v>û</v>
          </cell>
        </row>
        <row r="160">
          <cell r="A160" t="str">
            <v>N470</v>
          </cell>
          <cell r="B160" t="str">
            <v>AEROPORTO PRÉ-PLANEJADO EM SEDE DE UTP</v>
          </cell>
          <cell r="C160" t="str">
            <v>MG-018_3138401</v>
          </cell>
          <cell r="D160" t="str">
            <v>LEOPOLDINA</v>
          </cell>
          <cell r="E160" t="str">
            <v>MG</v>
          </cell>
          <cell r="F160" t="str">
            <v>û</v>
          </cell>
        </row>
        <row r="161">
          <cell r="A161" t="str">
            <v>N011</v>
          </cell>
          <cell r="B161" t="str">
            <v>AEROPORTO PRÉ-PLANEJADO EM SEDE DE UTP</v>
          </cell>
          <cell r="C161" t="str">
            <v>RO-004_1100130</v>
          </cell>
          <cell r="D161" t="str">
            <v>MACHADINHO D'OESTE</v>
          </cell>
          <cell r="E161" t="str">
            <v>RO</v>
          </cell>
          <cell r="F161" t="str">
            <v>û</v>
          </cell>
        </row>
        <row r="162">
          <cell r="A162" t="str">
            <v>N132</v>
          </cell>
          <cell r="B162" t="str">
            <v>AEROPORTO PRÉ-PLANEJADO EM SEDE DE UTP</v>
          </cell>
          <cell r="C162" t="str">
            <v>PA-019_1507300</v>
          </cell>
          <cell r="D162" t="str">
            <v>SÃO FÉLIX DO XINGU</v>
          </cell>
          <cell r="E162" t="str">
            <v>PA</v>
          </cell>
          <cell r="F162" t="str">
            <v>û</v>
          </cell>
        </row>
        <row r="163">
          <cell r="A163" t="str">
            <v>SNOE</v>
          </cell>
          <cell r="B163" t="str">
            <v>OEIRAS</v>
          </cell>
          <cell r="C163" t="str">
            <v>PI0008_2207009</v>
          </cell>
          <cell r="D163" t="str">
            <v>OEIRAS</v>
          </cell>
          <cell r="E163" t="str">
            <v>PI</v>
          </cell>
          <cell r="F163" t="str">
            <v>û</v>
          </cell>
        </row>
        <row r="164">
          <cell r="A164" t="str">
            <v>N086</v>
          </cell>
          <cell r="B164" t="str">
            <v>AEROPORTO PRÉ-PLANEJADO FORA DE SEDE DE UTP</v>
          </cell>
          <cell r="C164" t="str">
            <v>PA-004_1501204</v>
          </cell>
          <cell r="D164" t="str">
            <v>BAIÃO</v>
          </cell>
          <cell r="E164" t="str">
            <v>PA</v>
          </cell>
          <cell r="F164" t="str">
            <v>û</v>
          </cell>
        </row>
        <row r="165">
          <cell r="A165" t="str">
            <v>N800</v>
          </cell>
          <cell r="B165" t="str">
            <v>AEROPORTO PRÉ-PLANEJADO EM SEDE DE UTP</v>
          </cell>
          <cell r="C165" t="str">
            <v>RS-024_4317301</v>
          </cell>
          <cell r="D165" t="str">
            <v>SANTA VITÓRIA DO PALMAR</v>
          </cell>
          <cell r="E165" t="str">
            <v>RS</v>
          </cell>
          <cell r="F165" t="str">
            <v>û</v>
          </cell>
        </row>
        <row r="166">
          <cell r="A166" t="str">
            <v>N186</v>
          </cell>
          <cell r="B166" t="str">
            <v>AEROPORTO PRÉ-PLANEJADO EM SEDE DE UTP</v>
          </cell>
          <cell r="C166" t="str">
            <v>AC-002_1200104</v>
          </cell>
          <cell r="D166" t="str">
            <v>BRASILÉIA</v>
          </cell>
          <cell r="E166" t="str">
            <v>AC</v>
          </cell>
          <cell r="F166" t="str">
            <v>û</v>
          </cell>
        </row>
        <row r="167">
          <cell r="A167" t="str">
            <v>SSPT</v>
          </cell>
          <cell r="B167" t="str">
            <v>BRASÍLIO MARQUES</v>
          </cell>
          <cell r="C167" t="str">
            <v>PR0028_4117909</v>
          </cell>
          <cell r="D167" t="str">
            <v>PALOTINA</v>
          </cell>
          <cell r="E167" t="str">
            <v>PR</v>
          </cell>
          <cell r="F167" t="str">
            <v>û</v>
          </cell>
        </row>
        <row r="168">
          <cell r="A168" t="str">
            <v>SSLS</v>
          </cell>
          <cell r="B168" t="str">
            <v>AERÓDROMO PÚBLICO DE RUY BARBOSA</v>
          </cell>
          <cell r="C168" t="str">
            <v>BA0035_2927200</v>
          </cell>
          <cell r="D168" t="str">
            <v>RUY BARBOSA</v>
          </cell>
          <cell r="E168" t="str">
            <v>BA</v>
          </cell>
          <cell r="F168" t="str">
            <v>û</v>
          </cell>
        </row>
        <row r="169">
          <cell r="A169" t="str">
            <v>SDET</v>
          </cell>
          <cell r="B169" t="str">
            <v>TIETÊ</v>
          </cell>
          <cell r="C169" t="str">
            <v>SP0067_3554508</v>
          </cell>
          <cell r="D169" t="str">
            <v>TIETÊ</v>
          </cell>
          <cell r="E169" t="str">
            <v>SP</v>
          </cell>
          <cell r="F169" t="str">
            <v>û</v>
          </cell>
        </row>
        <row r="170">
          <cell r="A170" t="str">
            <v>SWCZ</v>
          </cell>
          <cell r="B170" t="str">
            <v>CERES</v>
          </cell>
          <cell r="C170" t="str">
            <v>GO0024_5205406</v>
          </cell>
          <cell r="D170" t="str">
            <v>CERES</v>
          </cell>
          <cell r="E170" t="str">
            <v>GO</v>
          </cell>
          <cell r="F170" t="str">
            <v>û</v>
          </cell>
        </row>
        <row r="171">
          <cell r="A171" t="str">
            <v>N893</v>
          </cell>
          <cell r="B171" t="str">
            <v>AEROPORTO PRÉ-PLANEJADO EM SEDE DE UTP</v>
          </cell>
          <cell r="C171" t="str">
            <v>PA-024_1508308</v>
          </cell>
          <cell r="D171" t="str">
            <v>VISEU</v>
          </cell>
          <cell r="E171" t="str">
            <v>PA</v>
          </cell>
          <cell r="F171" t="str">
            <v>û</v>
          </cell>
        </row>
        <row r="172">
          <cell r="A172" t="str">
            <v>N266</v>
          </cell>
          <cell r="B172" t="str">
            <v>AEROPORTO PRÉ-PLANEJADO FORA DE SEDE DE UTP</v>
          </cell>
          <cell r="C172" t="str">
            <v>PA-002_1500305</v>
          </cell>
          <cell r="D172" t="str">
            <v>AFUÁ</v>
          </cell>
          <cell r="E172" t="str">
            <v>PA</v>
          </cell>
          <cell r="F172" t="str">
            <v>û</v>
          </cell>
        </row>
        <row r="173">
          <cell r="A173" t="str">
            <v>N181</v>
          </cell>
          <cell r="B173" t="str">
            <v>AEROPORTO PRÉ-PLANEJADO EM SEDE DE UTP</v>
          </cell>
          <cell r="C173" t="str">
            <v>AC-001_1200054</v>
          </cell>
          <cell r="D173" t="str">
            <v>ASSIS BRASIL</v>
          </cell>
          <cell r="E173" t="str">
            <v>AC</v>
          </cell>
          <cell r="F173" t="str">
            <v>û</v>
          </cell>
        </row>
        <row r="174">
          <cell r="A174" t="str">
            <v>SWWU</v>
          </cell>
          <cell r="B174" t="str">
            <v>URUAÇU</v>
          </cell>
          <cell r="C174" t="str">
            <v>GO0013_5221601</v>
          </cell>
          <cell r="D174" t="str">
            <v>URUAÇU</v>
          </cell>
          <cell r="E174" t="str">
            <v>GO</v>
          </cell>
          <cell r="F174" t="str">
            <v>û</v>
          </cell>
        </row>
        <row r="175">
          <cell r="A175" t="str">
            <v>N917</v>
          </cell>
          <cell r="B175" t="str">
            <v>AEROPORTO PRÉ-PLANEJADO EM SEDE DE UTP</v>
          </cell>
          <cell r="C175" t="str">
            <v>GO-008_5209903</v>
          </cell>
          <cell r="D175" t="str">
            <v>IACIARA</v>
          </cell>
          <cell r="E175" t="str">
            <v>GO</v>
          </cell>
          <cell r="F175" t="str">
            <v>û</v>
          </cell>
        </row>
        <row r="176">
          <cell r="A176" t="str">
            <v>N498</v>
          </cell>
          <cell r="B176" t="str">
            <v>AEROPORTO PRÉ-PLANEJADO FORA DE SEDE DE UTP</v>
          </cell>
          <cell r="C176" t="str">
            <v>RO-001_1100346</v>
          </cell>
          <cell r="D176" t="str">
            <v>ALVORADA D'OESTE</v>
          </cell>
          <cell r="E176" t="str">
            <v>RO</v>
          </cell>
          <cell r="F176" t="str">
            <v>û</v>
          </cell>
        </row>
        <row r="177">
          <cell r="A177" t="str">
            <v>SWNK</v>
          </cell>
          <cell r="B177" t="str">
            <v>NOVO CAMPO</v>
          </cell>
          <cell r="C177" t="str">
            <v>AM0011_1300706</v>
          </cell>
          <cell r="D177" t="str">
            <v>BOCA DO ACRE</v>
          </cell>
          <cell r="E177" t="str">
            <v>AM</v>
          </cell>
          <cell r="F177" t="str">
            <v>û</v>
          </cell>
        </row>
        <row r="178">
          <cell r="A178" t="str">
            <v>SSTB</v>
          </cell>
          <cell r="B178" t="str">
            <v>TRÊS BARRAS</v>
          </cell>
          <cell r="C178" t="str">
            <v>SC0013_4218301</v>
          </cell>
          <cell r="D178" t="str">
            <v>TRÊS BARRAS</v>
          </cell>
          <cell r="E178" t="str">
            <v>SC</v>
          </cell>
          <cell r="F178" t="str">
            <v>û</v>
          </cell>
        </row>
        <row r="179">
          <cell r="A179" t="str">
            <v>N058</v>
          </cell>
          <cell r="B179" t="str">
            <v>AEROPORTO PRÉ-PLANEJADO EM SEDE DE UTP</v>
          </cell>
          <cell r="C179" t="str">
            <v>AM-008_1303106</v>
          </cell>
          <cell r="D179" t="str">
            <v>NOVA OLINDA DO NORTE</v>
          </cell>
          <cell r="E179" t="str">
            <v>AM</v>
          </cell>
          <cell r="F179" t="str">
            <v>û</v>
          </cell>
        </row>
        <row r="180">
          <cell r="A180" t="str">
            <v>SNTQ</v>
          </cell>
          <cell r="B180" t="str">
            <v>BURITIRAMA</v>
          </cell>
          <cell r="C180" t="str">
            <v>BA0053_2904753</v>
          </cell>
          <cell r="D180" t="str">
            <v>BURITIRAMA</v>
          </cell>
          <cell r="E180" t="str">
            <v>BA</v>
          </cell>
          <cell r="F180" t="str">
            <v>û</v>
          </cell>
        </row>
        <row r="181">
          <cell r="A181" t="str">
            <v>N013</v>
          </cell>
          <cell r="B181" t="str">
            <v>AEROPORTO PRÉ-PLANEJADO EM SEDE DE UTP</v>
          </cell>
          <cell r="C181" t="str">
            <v>GO-001_5200803</v>
          </cell>
          <cell r="D181" t="str">
            <v>ALVORADA DO NORTE</v>
          </cell>
          <cell r="E181" t="str">
            <v>GO</v>
          </cell>
          <cell r="F181" t="str">
            <v>û</v>
          </cell>
        </row>
        <row r="182">
          <cell r="A182" t="str">
            <v>SNBG</v>
          </cell>
          <cell r="B182" t="str">
            <v>BAIXO GUANDU - AIMORÉS</v>
          </cell>
          <cell r="C182" t="str">
            <v>ES0005_3200805</v>
          </cell>
          <cell r="D182" t="str">
            <v>BAIXO GUANDU</v>
          </cell>
          <cell r="E182" t="str">
            <v>ES</v>
          </cell>
          <cell r="F182" t="str">
            <v>û</v>
          </cell>
        </row>
        <row r="183">
          <cell r="A183" t="str">
            <v>SNKC</v>
          </cell>
          <cell r="B183" t="str">
            <v>COCOS</v>
          </cell>
          <cell r="C183" t="str">
            <v>BA0058_2908101</v>
          </cell>
          <cell r="D183" t="str">
            <v>COCOS</v>
          </cell>
          <cell r="E183" t="str">
            <v>BA</v>
          </cell>
          <cell r="F183" t="str">
            <v>û</v>
          </cell>
        </row>
        <row r="184">
          <cell r="A184" t="str">
            <v>SNSI</v>
          </cell>
          <cell r="B184" t="str">
            <v>SANTA MARIA DO SUAÇUÍ</v>
          </cell>
          <cell r="C184" t="str">
            <v>MG0076_3136553</v>
          </cell>
          <cell r="D184" t="str">
            <v>JOSÉ RAYDAN</v>
          </cell>
          <cell r="E184" t="str">
            <v>MG</v>
          </cell>
          <cell r="F184" t="str">
            <v>û</v>
          </cell>
        </row>
        <row r="185">
          <cell r="A185" t="str">
            <v>SDKJ</v>
          </cell>
          <cell r="B185" t="str">
            <v>FORMOSA DO RIO PRETO</v>
          </cell>
          <cell r="C185" t="str">
            <v>BA0025_2911105</v>
          </cell>
          <cell r="D185" t="str">
            <v>FORMOSA DO RIO PRETO</v>
          </cell>
          <cell r="E185" t="str">
            <v>BA</v>
          </cell>
          <cell r="F185" t="str">
            <v>û</v>
          </cell>
        </row>
        <row r="186">
          <cell r="A186" t="str">
            <v>N078</v>
          </cell>
          <cell r="B186" t="str">
            <v>AEROPORTO PRÉ-PLANEJADO EM SEDE DE UTP</v>
          </cell>
          <cell r="C186" t="str">
            <v>RR-002_1400407</v>
          </cell>
          <cell r="D186" t="str">
            <v>NORMANDIA</v>
          </cell>
          <cell r="E186" t="str">
            <v>RR</v>
          </cell>
          <cell r="F186" t="str">
            <v>û</v>
          </cell>
        </row>
        <row r="187">
          <cell r="A187" t="str">
            <v>SWEE</v>
          </cell>
          <cell r="B187" t="str">
            <v>ESTIRÃO DO EQUADOR</v>
          </cell>
          <cell r="C187" t="str">
            <v>AM9004_1300201</v>
          </cell>
          <cell r="D187" t="str">
            <v>Atalaia do Norte</v>
          </cell>
          <cell r="E187" t="str">
            <v>AM</v>
          </cell>
          <cell r="F187" t="str">
            <v>û</v>
          </cell>
        </row>
        <row r="188">
          <cell r="A188" t="str">
            <v>SDAA</v>
          </cell>
          <cell r="B188" t="str">
            <v>ARARAS</v>
          </cell>
          <cell r="C188" t="str">
            <v>SP0045_3503307</v>
          </cell>
          <cell r="D188" t="str">
            <v>ARARAS</v>
          </cell>
          <cell r="E188" t="str">
            <v>SP</v>
          </cell>
          <cell r="F188" t="str">
            <v>û</v>
          </cell>
        </row>
        <row r="189">
          <cell r="A189" t="str">
            <v>SNUN</v>
          </cell>
          <cell r="B189" t="str">
            <v>UNAÍ</v>
          </cell>
          <cell r="C189" t="str">
            <v>MG0055_3170404</v>
          </cell>
          <cell r="D189" t="str">
            <v>UNAÍ</v>
          </cell>
          <cell r="E189" t="str">
            <v>MG</v>
          </cell>
          <cell r="F189" t="str">
            <v>û</v>
          </cell>
        </row>
        <row r="190">
          <cell r="A190" t="str">
            <v>SJ94</v>
          </cell>
          <cell r="B190" t="str">
            <v>IPAMERI</v>
          </cell>
          <cell r="C190" t="str">
            <v>GO0026_5210109</v>
          </cell>
          <cell r="D190" t="str">
            <v>IPAMERI</v>
          </cell>
          <cell r="E190" t="str">
            <v>GO</v>
          </cell>
          <cell r="F190" t="str">
            <v>û</v>
          </cell>
        </row>
        <row r="191">
          <cell r="A191" t="str">
            <v>SDL4</v>
          </cell>
          <cell r="B191" t="str">
            <v>PORTO WALTER</v>
          </cell>
          <cell r="C191" t="str">
            <v>AC0008_1200393</v>
          </cell>
          <cell r="D191" t="str">
            <v>PORTO WALTER</v>
          </cell>
          <cell r="E191" t="str">
            <v>AC</v>
          </cell>
          <cell r="F191" t="str">
            <v>û</v>
          </cell>
        </row>
        <row r="192">
          <cell r="A192" t="str">
            <v>SNUT</v>
          </cell>
          <cell r="B192" t="str">
            <v>DE UTINGA</v>
          </cell>
          <cell r="C192" t="str">
            <v>BA0017_2932804</v>
          </cell>
          <cell r="D192" t="str">
            <v>UTINGA</v>
          </cell>
          <cell r="E192" t="str">
            <v>BA</v>
          </cell>
          <cell r="F192" t="str">
            <v>û</v>
          </cell>
        </row>
        <row r="193">
          <cell r="A193" t="str">
            <v>N375</v>
          </cell>
          <cell r="B193" t="str">
            <v>AEROPORTO PRÉ-PLANEJADO FORA DE SEDE DE UTP</v>
          </cell>
          <cell r="C193" t="str">
            <v>BA-023_2924405</v>
          </cell>
          <cell r="D193" t="str">
            <v>PILÃO ARCADO</v>
          </cell>
          <cell r="E193" t="str">
            <v>BA</v>
          </cell>
          <cell r="F193" t="str">
            <v>û</v>
          </cell>
        </row>
        <row r="194">
          <cell r="A194" t="str">
            <v>SSRK</v>
          </cell>
          <cell r="B194" t="str">
            <v>CAMPO ALEGRE DE LOURDES</v>
          </cell>
          <cell r="C194" t="str">
            <v>BA0015_2905909</v>
          </cell>
          <cell r="D194" t="str">
            <v>CAMPO ALEGRE DE LOURDES</v>
          </cell>
          <cell r="E194" t="str">
            <v>BA</v>
          </cell>
          <cell r="F194" t="str">
            <v>û</v>
          </cell>
        </row>
        <row r="195">
          <cell r="A195" t="str">
            <v>SWPZ</v>
          </cell>
          <cell r="B195" t="str">
            <v>OURIÇANGA DE ABREU</v>
          </cell>
          <cell r="C195" t="str">
            <v>GO0010_5218300</v>
          </cell>
          <cell r="D195" t="str">
            <v>POSSE</v>
          </cell>
          <cell r="E195" t="str">
            <v>GO</v>
          </cell>
          <cell r="F195" t="str">
            <v>û</v>
          </cell>
        </row>
        <row r="196">
          <cell r="A196" t="str">
            <v>N145</v>
          </cell>
          <cell r="B196" t="str">
            <v>AEROPORTO PRÉ-PLANEJADO EM SEDE DE UTP</v>
          </cell>
          <cell r="C196" t="str">
            <v>TO-002_1702406</v>
          </cell>
          <cell r="D196" t="str">
            <v>ARRAIAS</v>
          </cell>
          <cell r="E196" t="str">
            <v>TO</v>
          </cell>
          <cell r="F196" t="str">
            <v>û</v>
          </cell>
        </row>
        <row r="197">
          <cell r="A197" t="str">
            <v>SWOW</v>
          </cell>
          <cell r="B197" t="str">
            <v>MOURA</v>
          </cell>
          <cell r="C197" t="str">
            <v>AM9003_1300409</v>
          </cell>
          <cell r="D197" t="str">
            <v>BARCELOS</v>
          </cell>
          <cell r="E197" t="str">
            <v>AM</v>
          </cell>
          <cell r="F197" t="str">
            <v>û</v>
          </cell>
        </row>
        <row r="198">
          <cell r="A198" t="str">
            <v>N593</v>
          </cell>
          <cell r="B198" t="str">
            <v>AEROPORTO PRÉ-PLANEJADO EM SEDE DE UTP</v>
          </cell>
          <cell r="C198" t="str">
            <v>AM-004_1301308</v>
          </cell>
          <cell r="D198" t="str">
            <v>CODAJÁS</v>
          </cell>
          <cell r="E198" t="str">
            <v>AM</v>
          </cell>
          <cell r="F198" t="str">
            <v>û</v>
          </cell>
        </row>
        <row r="199">
          <cell r="A199" t="str">
            <v>N911</v>
          </cell>
          <cell r="B199" t="str">
            <v>AEROPORTO PRÉ-PLANEJADO EM SEDE DE UTP</v>
          </cell>
          <cell r="C199" t="str">
            <v>GO-004_5205307</v>
          </cell>
          <cell r="D199" t="str">
            <v>CAVALCANTE</v>
          </cell>
          <cell r="E199" t="str">
            <v>GO</v>
          </cell>
          <cell r="F199" t="str">
            <v>û</v>
          </cell>
        </row>
        <row r="200">
          <cell r="A200" t="str">
            <v>N188</v>
          </cell>
          <cell r="B200" t="str">
            <v>AEROPORTO PRÉ-PLANEJADO EM SEDE DE UTP</v>
          </cell>
          <cell r="C200" t="str">
            <v>MA-021_2112605</v>
          </cell>
          <cell r="D200" t="str">
            <v>URBANO SANTOS</v>
          </cell>
          <cell r="E200" t="str">
            <v>MA</v>
          </cell>
          <cell r="F200" t="str">
            <v>û</v>
          </cell>
        </row>
        <row r="201">
          <cell r="A201" t="str">
            <v>N461</v>
          </cell>
          <cell r="B201" t="str">
            <v>AEROPORTO PRÉ-PLANEJADO EM SEDE DE UTP</v>
          </cell>
          <cell r="C201" t="str">
            <v>MG-015_3135209</v>
          </cell>
          <cell r="D201" t="str">
            <v>JANUÁRIA</v>
          </cell>
          <cell r="E201" t="str">
            <v>MG</v>
          </cell>
          <cell r="F201" t="str">
            <v>û</v>
          </cell>
        </row>
        <row r="202">
          <cell r="A202" t="str">
            <v>N693</v>
          </cell>
          <cell r="B202" t="str">
            <v>AEROPORTO PRÉ-PLANEJADO EM SEDE DE UTP</v>
          </cell>
          <cell r="C202" t="str">
            <v>TO-008_1712405</v>
          </cell>
          <cell r="D202" t="str">
            <v>LIZARDA</v>
          </cell>
          <cell r="E202" t="str">
            <v>TO</v>
          </cell>
          <cell r="F202" t="str">
            <v>û</v>
          </cell>
        </row>
        <row r="203">
          <cell r="A203" t="str">
            <v>SNPQ</v>
          </cell>
          <cell r="B203" t="str">
            <v>PESQUEIRA</v>
          </cell>
          <cell r="C203" t="str">
            <v>PE0010_2610905</v>
          </cell>
          <cell r="D203" t="str">
            <v>PESQUEIRA</v>
          </cell>
          <cell r="E203" t="str">
            <v>PE</v>
          </cell>
          <cell r="F203" t="str">
            <v>û</v>
          </cell>
        </row>
        <row r="204">
          <cell r="A204" t="str">
            <v>N089</v>
          </cell>
          <cell r="B204" t="str">
            <v>AEROPORTO PRÉ-PLANEJADO EM SEDE DE UTP</v>
          </cell>
          <cell r="C204" t="str">
            <v>RN-002_2401859</v>
          </cell>
          <cell r="D204" t="str">
            <v>CAIÇARA DO NORTE</v>
          </cell>
          <cell r="E204" t="str">
            <v>RN</v>
          </cell>
          <cell r="F204" t="str">
            <v>û</v>
          </cell>
        </row>
        <row r="205">
          <cell r="A205" t="str">
            <v>SNRP</v>
          </cell>
          <cell r="B205" t="str">
            <v>RIO PARANAÍBA</v>
          </cell>
          <cell r="C205" t="str">
            <v>MG0066_3155504</v>
          </cell>
          <cell r="D205" t="str">
            <v>RIO PARANAÍBA</v>
          </cell>
          <cell r="E205" t="str">
            <v>MG</v>
          </cell>
          <cell r="F205" t="str">
            <v>û</v>
          </cell>
        </row>
        <row r="206">
          <cell r="A206" t="str">
            <v>SDX4</v>
          </cell>
          <cell r="B206" t="str">
            <v>CANTO DO BURITI</v>
          </cell>
          <cell r="C206" t="str">
            <v>PI0093_2202307</v>
          </cell>
          <cell r="D206" t="str">
            <v>CANTO DO BURITI</v>
          </cell>
          <cell r="E206" t="str">
            <v>PI</v>
          </cell>
          <cell r="F206" t="str">
            <v>û</v>
          </cell>
        </row>
        <row r="207">
          <cell r="A207" t="str">
            <v>SICK</v>
          </cell>
          <cell r="B207" t="str">
            <v>DR. JUCELINO JOSÉ RIBEIRO</v>
          </cell>
          <cell r="C207" t="str">
            <v>MG0092_3112307</v>
          </cell>
          <cell r="D207" t="str">
            <v>CAPELINHA</v>
          </cell>
          <cell r="E207" t="str">
            <v>MG</v>
          </cell>
          <cell r="F207" t="str">
            <v>û</v>
          </cell>
        </row>
        <row r="208">
          <cell r="A208" t="str">
            <v>N808</v>
          </cell>
          <cell r="B208" t="str">
            <v>AEROPORTO PRÉ-PLANEJADO EM SEDE DE UTP</v>
          </cell>
          <cell r="C208" t="str">
            <v>PA-017_1506401</v>
          </cell>
          <cell r="D208" t="str">
            <v>SANTA CRUZ DO ARARI</v>
          </cell>
          <cell r="E208" t="str">
            <v>PA</v>
          </cell>
          <cell r="F208" t="str">
            <v>û</v>
          </cell>
        </row>
        <row r="209">
          <cell r="A209" t="str">
            <v>SNKS</v>
          </cell>
          <cell r="B209" t="str">
            <v>SANTA RITA DE CÁSSIA</v>
          </cell>
          <cell r="C209" t="str">
            <v>BA0064_2928406</v>
          </cell>
          <cell r="D209" t="str">
            <v>SANTA RITA DE CÁSSIA</v>
          </cell>
          <cell r="E209" t="str">
            <v>BA</v>
          </cell>
          <cell r="F209" t="str">
            <v>û</v>
          </cell>
        </row>
        <row r="210">
          <cell r="A210" t="str">
            <v>N529</v>
          </cell>
          <cell r="B210" t="str">
            <v>AEROPORTO PRÉ-PLANEJADO EM SEDE DE UTP</v>
          </cell>
          <cell r="C210" t="str">
            <v>MG-040_3169703</v>
          </cell>
          <cell r="D210" t="str">
            <v>TURMALINA</v>
          </cell>
          <cell r="E210" t="str">
            <v>MG</v>
          </cell>
          <cell r="F210" t="str">
            <v>û</v>
          </cell>
        </row>
        <row r="211">
          <cell r="A211" t="str">
            <v>SNGB</v>
          </cell>
          <cell r="B211" t="str">
            <v>GILBUÉS</v>
          </cell>
          <cell r="C211" t="str">
            <v>PI0011_2204402</v>
          </cell>
          <cell r="D211" t="str">
            <v>GILBUÉS</v>
          </cell>
          <cell r="E211" t="str">
            <v>PI</v>
          </cell>
          <cell r="F211" t="str">
            <v>û</v>
          </cell>
        </row>
        <row r="212">
          <cell r="A212" t="str">
            <v>SDFX</v>
          </cell>
          <cell r="B212" t="str">
            <v>CASA NOVA</v>
          </cell>
          <cell r="C212" t="str">
            <v>BA0054_2907202</v>
          </cell>
          <cell r="D212" t="str">
            <v>CASA NOVA</v>
          </cell>
          <cell r="E212" t="str">
            <v>BA</v>
          </cell>
          <cell r="F212" t="str">
            <v>û</v>
          </cell>
        </row>
        <row r="213">
          <cell r="A213" t="str">
            <v>SNKR</v>
          </cell>
          <cell r="B213" t="str">
            <v>CORRENTE</v>
          </cell>
          <cell r="C213" t="str">
            <v>PI0012_2202901</v>
          </cell>
          <cell r="D213" t="str">
            <v>CORRENTE</v>
          </cell>
          <cell r="E213" t="str">
            <v>PI</v>
          </cell>
          <cell r="F213" t="str">
            <v>û</v>
          </cell>
        </row>
        <row r="214">
          <cell r="A214" t="str">
            <v>N825</v>
          </cell>
          <cell r="B214" t="str">
            <v>AEROPORTO PRÉ-PLANEJADO EM SEDE DE UTP</v>
          </cell>
          <cell r="C214" t="str">
            <v>MS-005_5002605</v>
          </cell>
          <cell r="D214" t="str">
            <v>CAMAPUÃ</v>
          </cell>
          <cell r="E214" t="str">
            <v>MS</v>
          </cell>
          <cell r="F214" t="str">
            <v>û</v>
          </cell>
        </row>
        <row r="215">
          <cell r="A215" t="str">
            <v>N714</v>
          </cell>
          <cell r="B215" t="str">
            <v>AEROPORTO PRÉ-PLANEJADO EM SEDE DE UTP</v>
          </cell>
          <cell r="C215" t="str">
            <v>MG-021_3142700</v>
          </cell>
          <cell r="D215" t="str">
            <v>MONTALVÂNIA</v>
          </cell>
          <cell r="E215" t="str">
            <v>MG</v>
          </cell>
          <cell r="F215" t="str">
            <v>û</v>
          </cell>
        </row>
        <row r="216">
          <cell r="A216" t="str">
            <v>SDX9</v>
          </cell>
          <cell r="B216" t="str">
            <v>RIBEIRO GONÇALVES</v>
          </cell>
          <cell r="C216" t="str">
            <v>PI0091_2208908</v>
          </cell>
          <cell r="D216" t="str">
            <v>RIBEIRO GONÇALVES</v>
          </cell>
          <cell r="E216" t="str">
            <v>PI</v>
          </cell>
          <cell r="F216" t="str">
            <v>û</v>
          </cell>
        </row>
        <row r="217">
          <cell r="A217" t="str">
            <v>SNRM</v>
          </cell>
          <cell r="B217" t="str">
            <v>REMANSO</v>
          </cell>
          <cell r="C217" t="str">
            <v>BA0022_2926004</v>
          </cell>
          <cell r="D217" t="str">
            <v>REMANSO</v>
          </cell>
          <cell r="E217" t="str">
            <v>BA</v>
          </cell>
          <cell r="F217" t="str">
            <v>û</v>
          </cell>
        </row>
        <row r="218">
          <cell r="A218" t="str">
            <v>SDOV</v>
          </cell>
          <cell r="B218" t="str">
            <v>MOZARLÂNDIA</v>
          </cell>
          <cell r="C218" t="str">
            <v>GO0005_5214002</v>
          </cell>
          <cell r="D218" t="str">
            <v>MOZARLÂNDIA</v>
          </cell>
          <cell r="E218" t="str">
            <v>GO</v>
          </cell>
          <cell r="F218" t="str">
            <v>û</v>
          </cell>
        </row>
        <row r="219">
          <cell r="A219" t="str">
            <v>SWCB</v>
          </cell>
          <cell r="B219" t="str">
            <v>CAMPOS BELOS</v>
          </cell>
          <cell r="C219" t="str">
            <v>GO0023_5204904</v>
          </cell>
          <cell r="D219" t="str">
            <v>CAMPOS BELOS</v>
          </cell>
          <cell r="E219" t="str">
            <v>GO</v>
          </cell>
          <cell r="F219" t="str">
            <v>û</v>
          </cell>
        </row>
        <row r="220">
          <cell r="A220" t="str">
            <v>SWFX</v>
          </cell>
          <cell r="B220" t="str">
            <v>SÃO FÉLIX DO ARAGUAIA</v>
          </cell>
          <cell r="C220" t="str">
            <v>MT0022_5107859</v>
          </cell>
          <cell r="D220" t="str">
            <v>SÃO FÉLIX DO ARAGUAIA</v>
          </cell>
          <cell r="E220" t="str">
            <v>MT</v>
          </cell>
          <cell r="F220" t="str">
            <v>û</v>
          </cell>
        </row>
        <row r="221">
          <cell r="A221" t="str">
            <v>SBQI</v>
          </cell>
          <cell r="B221" t="str">
            <v>CARACARAI</v>
          </cell>
          <cell r="C221" t="str">
            <v>RR9001_1400209</v>
          </cell>
          <cell r="D221" t="str">
            <v>CARACARAÍ</v>
          </cell>
          <cell r="E221" t="str">
            <v>RR</v>
          </cell>
          <cell r="F221" t="str">
            <v>û</v>
          </cell>
        </row>
        <row r="222">
          <cell r="A222" t="str">
            <v>N100</v>
          </cell>
          <cell r="B222" t="str">
            <v>AEROPORTO PRÉ-PLANEJADO EM SEDE DE UTP</v>
          </cell>
          <cell r="C222" t="str">
            <v>PA-014_1503101</v>
          </cell>
          <cell r="D222" t="str">
            <v>GURUPÁ</v>
          </cell>
          <cell r="E222" t="str">
            <v>PA</v>
          </cell>
          <cell r="F222" t="str">
            <v>û</v>
          </cell>
        </row>
        <row r="223">
          <cell r="A223" t="str">
            <v>SWNQ</v>
          </cell>
          <cell r="B223" t="str">
            <v>NIQUELÂNDIA</v>
          </cell>
          <cell r="C223" t="str">
            <v>GO0016_5214606</v>
          </cell>
          <cell r="D223" t="str">
            <v>NIQUELÂNDIA</v>
          </cell>
          <cell r="E223" t="str">
            <v>GO</v>
          </cell>
          <cell r="F223" t="str">
            <v>û</v>
          </cell>
        </row>
        <row r="224">
          <cell r="A224" t="str">
            <v>N187</v>
          </cell>
          <cell r="B224" t="str">
            <v>AEROPORTO PRÉ-PLANEJADO EM SEDE DE UTP</v>
          </cell>
          <cell r="C224" t="str">
            <v>MA-020_2112407</v>
          </cell>
          <cell r="D224" t="str">
            <v>TURIAÇU</v>
          </cell>
          <cell r="E224" t="str">
            <v>MA</v>
          </cell>
          <cell r="F224" t="str">
            <v>û</v>
          </cell>
        </row>
        <row r="225">
          <cell r="A225" t="str">
            <v>N468</v>
          </cell>
          <cell r="B225" t="str">
            <v>AEROPORTO PRÉ-PLANEJADO EM SEDE DE UTP</v>
          </cell>
          <cell r="C225" t="str">
            <v>PI-005_2211209</v>
          </cell>
          <cell r="D225" t="str">
            <v>URUÇUÍ</v>
          </cell>
          <cell r="E225" t="str">
            <v>PI</v>
          </cell>
          <cell r="F225" t="str">
            <v>û</v>
          </cell>
        </row>
        <row r="226">
          <cell r="A226" t="str">
            <v>N331</v>
          </cell>
          <cell r="B226" t="str">
            <v>AEROPORTO PRÉ-PLANEJADO FORA DE SEDE DE UTP</v>
          </cell>
          <cell r="C226" t="str">
            <v>BA-011_2909109</v>
          </cell>
          <cell r="D226" t="str">
            <v>CORIBE</v>
          </cell>
          <cell r="E226" t="str">
            <v>BA</v>
          </cell>
          <cell r="F226" t="str">
            <v>û</v>
          </cell>
        </row>
        <row r="227">
          <cell r="A227" t="str">
            <v>SSSB</v>
          </cell>
          <cell r="B227" t="str">
            <v>SÃO BORJA</v>
          </cell>
          <cell r="C227" t="str">
            <v>RS0014_4318002</v>
          </cell>
          <cell r="D227" t="str">
            <v>SÃO BORJA</v>
          </cell>
          <cell r="E227" t="str">
            <v>RS</v>
          </cell>
          <cell r="F227" t="str">
            <v>û</v>
          </cell>
        </row>
        <row r="228">
          <cell r="A228" t="str">
            <v>SNUI</v>
          </cell>
          <cell r="B228" t="str">
            <v>ARAÇUAÍ</v>
          </cell>
          <cell r="C228" t="str">
            <v>MG0045_3103405</v>
          </cell>
          <cell r="D228" t="str">
            <v>ARAÇUAÍ</v>
          </cell>
          <cell r="E228" t="str">
            <v>MG</v>
          </cell>
          <cell r="F228" t="str">
            <v>û</v>
          </cell>
        </row>
        <row r="229">
          <cell r="A229" t="str">
            <v>N817</v>
          </cell>
          <cell r="B229" t="str">
            <v>AEROPORTO PRÉ-PLANEJADO EM SEDE DE UTP</v>
          </cell>
          <cell r="C229" t="str">
            <v>MG-034_3159803</v>
          </cell>
          <cell r="D229" t="str">
            <v>SANTA VITÓRIA</v>
          </cell>
          <cell r="E229" t="str">
            <v>MG</v>
          </cell>
          <cell r="F229" t="str">
            <v>û</v>
          </cell>
        </row>
        <row r="230">
          <cell r="A230" t="str">
            <v>N638</v>
          </cell>
          <cell r="B230" t="str">
            <v>AEROPORTO PRÉ-PLANEJADO EM SEDE DE UTP</v>
          </cell>
          <cell r="C230" t="str">
            <v>TO-005_1709005</v>
          </cell>
          <cell r="D230" t="str">
            <v>GOIATINS</v>
          </cell>
          <cell r="E230" t="str">
            <v>TO</v>
          </cell>
          <cell r="F230" t="str">
            <v>û</v>
          </cell>
        </row>
        <row r="231">
          <cell r="A231" t="str">
            <v>SDOW</v>
          </cell>
          <cell r="B231" t="str">
            <v>OURILÂNDIA DO NORTE</v>
          </cell>
          <cell r="C231" t="str">
            <v>PA0021_1505437</v>
          </cell>
          <cell r="D231" t="str">
            <v>OURILÂNDIA DO NORTE</v>
          </cell>
          <cell r="E231" t="str">
            <v>PA</v>
          </cell>
          <cell r="F231" t="str">
            <v>û</v>
          </cell>
        </row>
        <row r="232">
          <cell r="A232" t="str">
            <v>N501</v>
          </cell>
          <cell r="B232" t="str">
            <v>AEROPORTO PRÉ-PLANEJADO EM SEDE DE UTP</v>
          </cell>
          <cell r="C232" t="str">
            <v>AM-001_1300060</v>
          </cell>
          <cell r="D232" t="str">
            <v>AMATURÁ</v>
          </cell>
          <cell r="E232" t="str">
            <v>AM</v>
          </cell>
          <cell r="F232" t="str">
            <v>û</v>
          </cell>
        </row>
        <row r="233">
          <cell r="A233" t="str">
            <v>SSQP</v>
          </cell>
          <cell r="B233" t="str">
            <v>MONTE SANTO</v>
          </cell>
          <cell r="C233" t="str">
            <v>BA0061_2921500</v>
          </cell>
          <cell r="D233" t="str">
            <v>MONTE SANTO</v>
          </cell>
          <cell r="E233" t="str">
            <v>BA</v>
          </cell>
          <cell r="F233" t="str">
            <v>û</v>
          </cell>
        </row>
        <row r="234">
          <cell r="A234" t="str">
            <v>N348</v>
          </cell>
          <cell r="B234" t="str">
            <v>AEROPORTO PRÉ-PLANEJADO EM SEDE DE UTP</v>
          </cell>
          <cell r="C234" t="str">
            <v>ES-002_3204252</v>
          </cell>
          <cell r="D234" t="str">
            <v>PONTO BELO</v>
          </cell>
          <cell r="E234" t="str">
            <v>ES</v>
          </cell>
          <cell r="F234" t="str">
            <v>û</v>
          </cell>
        </row>
        <row r="235">
          <cell r="A235" t="str">
            <v>N171</v>
          </cell>
          <cell r="B235" t="str">
            <v>AEROPORTO PRÉ-PLANEJADO EM SEDE DE UTP</v>
          </cell>
          <cell r="C235" t="str">
            <v>MA-010_2103703</v>
          </cell>
          <cell r="D235" t="str">
            <v>CURURUPU</v>
          </cell>
          <cell r="E235" t="str">
            <v>MA</v>
          </cell>
          <cell r="F235" t="str">
            <v>û</v>
          </cell>
        </row>
        <row r="236">
          <cell r="A236" t="str">
            <v>N691</v>
          </cell>
          <cell r="B236" t="str">
            <v>AEROPORTO PRÉ-PLANEJADO EM SEDE DE UTP</v>
          </cell>
          <cell r="C236" t="str">
            <v>TO-007_1711902</v>
          </cell>
          <cell r="D236" t="str">
            <v>LAGOA DA CONFUSÃO</v>
          </cell>
          <cell r="E236" t="str">
            <v>TO</v>
          </cell>
          <cell r="F236" t="str">
            <v>û</v>
          </cell>
        </row>
        <row r="237">
          <cell r="A237" t="str">
            <v>SWIQ</v>
          </cell>
          <cell r="B237" t="str">
            <v>AEROPORTO MUNICIPAL JOSÉ CAIRES DE OLIVEIRA</v>
          </cell>
          <cell r="C237" t="str">
            <v>GO0019_5213087</v>
          </cell>
          <cell r="D237" t="str">
            <v>MINAÇU</v>
          </cell>
          <cell r="E237" t="str">
            <v>GO</v>
          </cell>
          <cell r="F237" t="str">
            <v>û</v>
          </cell>
        </row>
        <row r="238">
          <cell r="A238" t="str">
            <v>SNGD</v>
          </cell>
          <cell r="B238" t="str">
            <v>GUADALUPE</v>
          </cell>
          <cell r="C238" t="str">
            <v>PI0005_2204501</v>
          </cell>
          <cell r="D238" t="str">
            <v>GUADALUPE</v>
          </cell>
          <cell r="E238" t="str">
            <v>PI</v>
          </cell>
          <cell r="F238" t="str">
            <v>û</v>
          </cell>
        </row>
        <row r="239">
          <cell r="A239" t="str">
            <v>SWTY</v>
          </cell>
          <cell r="B239" t="str">
            <v>TAGUATINGA</v>
          </cell>
          <cell r="C239" t="str">
            <v>TO0009_1720903</v>
          </cell>
          <cell r="D239" t="str">
            <v>TAGUATINGA</v>
          </cell>
          <cell r="E239" t="str">
            <v>TO</v>
          </cell>
          <cell r="F239" t="str">
            <v>û</v>
          </cell>
        </row>
        <row r="240">
          <cell r="A240" t="str">
            <v>SBCC</v>
          </cell>
          <cell r="B240" t="str">
            <v>CAMPO DE PROVAS BRIGADEIRO VELOSO (CPBV)</v>
          </cell>
          <cell r="C240" t="str">
            <v>PA9001_5104104</v>
          </cell>
          <cell r="D240" t="str">
            <v>Guarantã do Norte</v>
          </cell>
          <cell r="E240" t="str">
            <v>MT</v>
          </cell>
          <cell r="F240" t="str">
            <v>û</v>
          </cell>
        </row>
        <row r="241">
          <cell r="A241" t="str">
            <v>N023</v>
          </cell>
          <cell r="B241" t="str">
            <v>AEROPORTO PRÉ-PLANEJADO FORA DE SEDE DE UTP</v>
          </cell>
          <cell r="C241" t="str">
            <v>TO-012_1718865</v>
          </cell>
          <cell r="D241" t="str">
            <v>SANTA FÉ DO ARAGUAIA</v>
          </cell>
          <cell r="E241" t="str">
            <v>TO</v>
          </cell>
          <cell r="F241" t="str">
            <v>û</v>
          </cell>
        </row>
        <row r="242">
          <cell r="A242" t="str">
            <v>SDH4</v>
          </cell>
          <cell r="B242" t="str">
            <v>AEROCLUBE DE ITAPEVA</v>
          </cell>
          <cell r="C242" t="str">
            <v>SP0062_3522406</v>
          </cell>
          <cell r="D242" t="str">
            <v>ITAPEVA</v>
          </cell>
          <cell r="E242" t="str">
            <v>SP</v>
          </cell>
          <cell r="F242" t="str">
            <v>û</v>
          </cell>
        </row>
        <row r="243">
          <cell r="A243" t="str">
            <v>SD7H</v>
          </cell>
          <cell r="B243" t="str">
            <v>XAPURÍ</v>
          </cell>
          <cell r="C243" t="str">
            <v>AC0005_1200708</v>
          </cell>
          <cell r="D243" t="str">
            <v>XAPURI</v>
          </cell>
          <cell r="E243" t="str">
            <v>AC</v>
          </cell>
          <cell r="F243" t="str">
            <v>û</v>
          </cell>
        </row>
        <row r="244">
          <cell r="A244" t="str">
            <v>SNIE</v>
          </cell>
          <cell r="B244" t="str">
            <v>CAETITÉ</v>
          </cell>
          <cell r="C244" t="str">
            <v>BA0020_2905206</v>
          </cell>
          <cell r="D244" t="str">
            <v>CAETITÉ</v>
          </cell>
          <cell r="E244" t="str">
            <v>BA</v>
          </cell>
          <cell r="F244" t="str">
            <v>û</v>
          </cell>
        </row>
        <row r="245">
          <cell r="A245" t="str">
            <v>N502</v>
          </cell>
          <cell r="B245" t="str">
            <v>AEROPORTO PRÉ-PLANEJADO EM SEDE DE UTP</v>
          </cell>
          <cell r="C245" t="str">
            <v>PA-003_1500701</v>
          </cell>
          <cell r="D245" t="str">
            <v>ANAJÁS</v>
          </cell>
          <cell r="E245" t="str">
            <v>PA</v>
          </cell>
          <cell r="F245" t="str">
            <v>û</v>
          </cell>
        </row>
        <row r="246">
          <cell r="A246" t="str">
            <v>N320</v>
          </cell>
          <cell r="B246" t="str">
            <v>AEROPORTO PRÉ-PLANEJADO EM SEDE DE UTP</v>
          </cell>
          <cell r="C246" t="str">
            <v>BA-009_2907103</v>
          </cell>
          <cell r="D246" t="str">
            <v>CARINHANHA</v>
          </cell>
          <cell r="E246" t="str">
            <v>BA</v>
          </cell>
          <cell r="F246" t="str">
            <v>û</v>
          </cell>
        </row>
        <row r="247">
          <cell r="A247" t="str">
            <v>N294</v>
          </cell>
          <cell r="B247" t="str">
            <v>AEROPORTO PRÉ-PLANEJADO EM SEDE DE UTP</v>
          </cell>
          <cell r="C247" t="str">
            <v>AM-007_1303007</v>
          </cell>
          <cell r="D247" t="str">
            <v>NHAMUNDÁ</v>
          </cell>
          <cell r="E247" t="str">
            <v>AM</v>
          </cell>
          <cell r="F247" t="str">
            <v>û</v>
          </cell>
        </row>
        <row r="248">
          <cell r="A248" t="str">
            <v>N504</v>
          </cell>
          <cell r="B248" t="str">
            <v>AEROPORTO PRÉ-PLANEJADO EM SEDE DE UTP</v>
          </cell>
          <cell r="C248" t="str">
            <v>AM-002_1300102</v>
          </cell>
          <cell r="D248" t="str">
            <v>ANORI</v>
          </cell>
          <cell r="E248" t="str">
            <v>AM</v>
          </cell>
          <cell r="F248" t="str">
            <v>û</v>
          </cell>
        </row>
        <row r="249">
          <cell r="A249" t="str">
            <v>N898</v>
          </cell>
          <cell r="B249" t="str">
            <v>AEROPORTO PRÉ-PLANEJADO EM SEDE DE UTP</v>
          </cell>
          <cell r="C249" t="str">
            <v>MA-022_2114007</v>
          </cell>
          <cell r="D249" t="str">
            <v>ZÉ DOCA</v>
          </cell>
          <cell r="E249" t="str">
            <v>MA</v>
          </cell>
          <cell r="F249" t="str">
            <v>û</v>
          </cell>
        </row>
        <row r="250">
          <cell r="A250" t="str">
            <v>N314</v>
          </cell>
          <cell r="B250" t="str">
            <v>AEROPORTO PRÉ-PLANEJADO EM SEDE DE UTP</v>
          </cell>
          <cell r="C250" t="str">
            <v>BA-006_2905008</v>
          </cell>
          <cell r="D250" t="str">
            <v>CACULÉ</v>
          </cell>
          <cell r="E250" t="str">
            <v>BA</v>
          </cell>
          <cell r="F250" t="str">
            <v>û</v>
          </cell>
        </row>
        <row r="251">
          <cell r="A251" t="str">
            <v>N926</v>
          </cell>
          <cell r="B251" t="str">
            <v>AEROPORTO PRÉ-PLANEJADO EM SEDE DE UTP</v>
          </cell>
          <cell r="C251" t="str">
            <v>GO-012_5213509</v>
          </cell>
          <cell r="D251" t="str">
            <v>MONTE ALEGRE DE GOIÁS</v>
          </cell>
          <cell r="E251" t="str">
            <v>GO</v>
          </cell>
          <cell r="F251" t="str">
            <v>û</v>
          </cell>
        </row>
        <row r="252">
          <cell r="A252" t="str">
            <v>SIBU</v>
          </cell>
          <cell r="B252" t="str">
            <v>JERÔNIMO SÉRGIO ROSADO MAIA</v>
          </cell>
          <cell r="C252" t="str">
            <v>PB0012_2504306</v>
          </cell>
          <cell r="D252" t="str">
            <v>CATOLÉ DO ROCHA</v>
          </cell>
          <cell r="E252" t="str">
            <v>PB</v>
          </cell>
          <cell r="F252" t="str">
            <v>û</v>
          </cell>
        </row>
        <row r="253">
          <cell r="A253" t="str">
            <v>N659</v>
          </cell>
          <cell r="B253" t="str">
            <v>AEROPORTO PRÉ-PLANEJADO EM SEDE DE UTP</v>
          </cell>
          <cell r="C253" t="str">
            <v>GO-010_5210208</v>
          </cell>
          <cell r="D253" t="str">
            <v>IPORÁ</v>
          </cell>
          <cell r="E253" t="str">
            <v>GO</v>
          </cell>
          <cell r="F253" t="str">
            <v>û</v>
          </cell>
        </row>
        <row r="254">
          <cell r="A254" t="str">
            <v>N754</v>
          </cell>
          <cell r="B254" t="str">
            <v>AEROPORTO PRÉ-PLANEJADO EM SEDE DE UTP</v>
          </cell>
          <cell r="C254" t="str">
            <v>TO-011_1716208</v>
          </cell>
          <cell r="D254" t="str">
            <v>PARANÃ</v>
          </cell>
          <cell r="E254" t="str">
            <v>TO</v>
          </cell>
          <cell r="F254" t="str">
            <v>û</v>
          </cell>
        </row>
        <row r="255">
          <cell r="A255" t="str">
            <v>N191</v>
          </cell>
          <cell r="B255" t="str">
            <v>AEROPORTO PRÉ-PLANEJADO EM SEDE DE UTP</v>
          </cell>
          <cell r="C255" t="str">
            <v>RS-009_4308656</v>
          </cell>
          <cell r="D255" t="str">
            <v>GARRUCHOS</v>
          </cell>
          <cell r="E255" t="str">
            <v>RS</v>
          </cell>
          <cell r="F255" t="str">
            <v>û</v>
          </cell>
        </row>
        <row r="256">
          <cell r="A256" t="str">
            <v>N400</v>
          </cell>
          <cell r="B256" t="str">
            <v>AEROPORTO PRÉ-PLANEJADO EM SEDE DE UTP</v>
          </cell>
          <cell r="C256" t="str">
            <v>BA-032_2932002</v>
          </cell>
          <cell r="D256" t="str">
            <v>UAUÁ</v>
          </cell>
          <cell r="E256" t="str">
            <v>BA</v>
          </cell>
          <cell r="F256" t="str">
            <v>û</v>
          </cell>
        </row>
        <row r="257">
          <cell r="A257" t="str">
            <v>SIZX</v>
          </cell>
          <cell r="B257" t="str">
            <v>JUARA SUL</v>
          </cell>
          <cell r="C257" t="str">
            <v>MT0018_5105101</v>
          </cell>
          <cell r="D257" t="str">
            <v>JUARA</v>
          </cell>
          <cell r="E257" t="str">
            <v>MT</v>
          </cell>
          <cell r="F257" t="str">
            <v>û</v>
          </cell>
        </row>
        <row r="258">
          <cell r="A258" t="str">
            <v>SWPL</v>
          </cell>
          <cell r="B258" t="str">
            <v>LEONARDO VILLAS BOAS</v>
          </cell>
          <cell r="C258" t="str">
            <v>MT0027_5103858</v>
          </cell>
          <cell r="D258" t="str">
            <v>GAÚCHA DO NORTE</v>
          </cell>
          <cell r="E258" t="str">
            <v>MT</v>
          </cell>
          <cell r="F258" t="str">
            <v>û</v>
          </cell>
        </row>
        <row r="259">
          <cell r="A259" t="str">
            <v>N006</v>
          </cell>
          <cell r="B259" t="str">
            <v>AEROPORTO PRÉ-PLANEJADO EM SEDE DE UTP</v>
          </cell>
          <cell r="C259" t="str">
            <v>PR-001_4100202</v>
          </cell>
          <cell r="D259" t="str">
            <v>ADRIANÓPOLIS</v>
          </cell>
          <cell r="E259" t="str">
            <v>PR</v>
          </cell>
          <cell r="F259" t="str">
            <v>û</v>
          </cell>
        </row>
        <row r="260">
          <cell r="A260" t="str">
            <v>N166</v>
          </cell>
          <cell r="B260" t="str">
            <v>AEROPORTO PRÉ-PLANEJADO FORA DE SEDE DE UTP</v>
          </cell>
          <cell r="C260" t="str">
            <v>MA-002_2101806</v>
          </cell>
          <cell r="D260" t="str">
            <v>BENEDITO LEITE</v>
          </cell>
          <cell r="E260" t="str">
            <v>MA</v>
          </cell>
          <cell r="F260" t="str">
            <v>û</v>
          </cell>
        </row>
        <row r="261">
          <cell r="A261" t="str">
            <v>N183</v>
          </cell>
          <cell r="B261" t="str">
            <v>AEROPORTO PRÉ-PLANEJADO EM SEDE DE UTP</v>
          </cell>
          <cell r="C261" t="str">
            <v>RS-002_4301875</v>
          </cell>
          <cell r="D261" t="str">
            <v>BARRA DO QUARAÍ</v>
          </cell>
          <cell r="E261" t="str">
            <v>RS</v>
          </cell>
          <cell r="F261" t="str">
            <v>û</v>
          </cell>
        </row>
        <row r="262">
          <cell r="A262" t="str">
            <v>N889</v>
          </cell>
          <cell r="B262" t="str">
            <v>AEROPORTO PRÉ-PLANEJADO EM SEDE DE UTP</v>
          </cell>
          <cell r="C262" t="str">
            <v>MT-008_5107776</v>
          </cell>
          <cell r="D262" t="str">
            <v>SANTA TEREZINHA</v>
          </cell>
          <cell r="E262" t="str">
            <v>MT</v>
          </cell>
          <cell r="F262" t="str">
            <v>û</v>
          </cell>
        </row>
        <row r="263">
          <cell r="A263" t="str">
            <v>SNVC</v>
          </cell>
          <cell r="B263" t="str">
            <v>VIÇOSA</v>
          </cell>
          <cell r="C263" t="str">
            <v>MG0074_3171303</v>
          </cell>
          <cell r="D263" t="str">
            <v>VIÇOSA</v>
          </cell>
          <cell r="E263" t="str">
            <v>MG</v>
          </cell>
          <cell r="F263" t="str">
            <v>û</v>
          </cell>
        </row>
        <row r="264">
          <cell r="A264" t="str">
            <v>SWHP</v>
          </cell>
          <cell r="B264" t="str">
            <v>FREDERICO CARLOS MÜLLER</v>
          </cell>
          <cell r="C264" t="str">
            <v>MT0006_5100201</v>
          </cell>
          <cell r="D264" t="str">
            <v>ÁGUA BOA</v>
          </cell>
          <cell r="E264" t="str">
            <v>MT</v>
          </cell>
          <cell r="F264" t="str">
            <v>û</v>
          </cell>
        </row>
        <row r="265">
          <cell r="A265" t="str">
            <v>N872</v>
          </cell>
          <cell r="B265" t="str">
            <v>AEROPORTO PRÉ-PLANEJADO EM SEDE DE UTP</v>
          </cell>
          <cell r="C265" t="str">
            <v>MT-005_5105309</v>
          </cell>
          <cell r="D265" t="str">
            <v>LUCIARA</v>
          </cell>
          <cell r="E265" t="str">
            <v>MT</v>
          </cell>
          <cell r="F265" t="str">
            <v>û</v>
          </cell>
        </row>
        <row r="266">
          <cell r="A266" t="str">
            <v>SNSE</v>
          </cell>
          <cell r="B266" t="str">
            <v>SENTO SÉ</v>
          </cell>
          <cell r="C266" t="str">
            <v>BA0056_2930204</v>
          </cell>
          <cell r="D266" t="str">
            <v>SENTO SÉ</v>
          </cell>
          <cell r="E266" t="str">
            <v>BA</v>
          </cell>
          <cell r="F266" t="str">
            <v>û</v>
          </cell>
        </row>
        <row r="267">
          <cell r="A267" t="str">
            <v>SNYU</v>
          </cell>
          <cell r="B267" t="str">
            <v>ITURAMA</v>
          </cell>
          <cell r="C267" t="str">
            <v>MG0014_3134400</v>
          </cell>
          <cell r="D267" t="str">
            <v>ITURAMA</v>
          </cell>
          <cell r="E267" t="str">
            <v>MG</v>
          </cell>
          <cell r="F267" t="str">
            <v>û</v>
          </cell>
        </row>
        <row r="268">
          <cell r="A268" t="str">
            <v>SDWQ</v>
          </cell>
          <cell r="B268" t="str">
            <v>ALENQUER</v>
          </cell>
          <cell r="C268" t="str">
            <v>PA0027_1500404</v>
          </cell>
          <cell r="D268" t="str">
            <v>ALENQUER</v>
          </cell>
          <cell r="E268" t="str">
            <v>PA</v>
          </cell>
          <cell r="F268" t="str">
            <v>û</v>
          </cell>
        </row>
        <row r="269">
          <cell r="A269" t="str">
            <v>SJHG</v>
          </cell>
          <cell r="B269" t="str">
            <v>CONFRESA</v>
          </cell>
          <cell r="C269" t="str">
            <v>MT0176_5103353</v>
          </cell>
          <cell r="D269" t="str">
            <v>CONFRESA</v>
          </cell>
          <cell r="E269" t="str">
            <v>MT</v>
          </cell>
          <cell r="F269" t="str">
            <v>û</v>
          </cell>
        </row>
        <row r="270">
          <cell r="A270" t="str">
            <v>SWVC</v>
          </cell>
          <cell r="B270" t="str">
            <v>VILA RICA</v>
          </cell>
          <cell r="C270" t="str">
            <v>MT0016_5108600</v>
          </cell>
          <cell r="D270" t="str">
            <v>VILA RICA</v>
          </cell>
          <cell r="E270" t="str">
            <v>MT</v>
          </cell>
          <cell r="F270" t="str">
            <v>û</v>
          </cell>
        </row>
        <row r="271">
          <cell r="A271" t="str">
            <v>N823</v>
          </cell>
          <cell r="B271" t="str">
            <v>AEROPORTO PRÉ-PLANEJADO EM SEDE DE UTP</v>
          </cell>
          <cell r="C271" t="str">
            <v>GO-017_5219803</v>
          </cell>
          <cell r="D271" t="str">
            <v>SÃO DOMINGOS</v>
          </cell>
          <cell r="E271" t="str">
            <v>GO</v>
          </cell>
          <cell r="F271" t="str">
            <v>û</v>
          </cell>
        </row>
        <row r="272">
          <cell r="A272" t="str">
            <v>N061</v>
          </cell>
          <cell r="B272" t="str">
            <v>AEROPORTO PRÉ-PLANEJADO EM SEDE DE UTP</v>
          </cell>
          <cell r="C272" t="str">
            <v>AM-009_1303502</v>
          </cell>
          <cell r="D272" t="str">
            <v>PAUINI</v>
          </cell>
          <cell r="E272" t="str">
            <v>AM</v>
          </cell>
          <cell r="F272" t="str">
            <v>û</v>
          </cell>
        </row>
        <row r="273">
          <cell r="A273" t="str">
            <v>N185</v>
          </cell>
          <cell r="B273" t="str">
            <v>AEROPORTO PRÉ-PLANEJADO EM SEDE DE UTP</v>
          </cell>
          <cell r="C273" t="str">
            <v>MS-006_5003157</v>
          </cell>
          <cell r="D273" t="str">
            <v>CORONEL SAPUCAIA</v>
          </cell>
          <cell r="E273" t="str">
            <v>MS</v>
          </cell>
          <cell r="F273" t="str">
            <v>û</v>
          </cell>
        </row>
        <row r="274">
          <cell r="A274" t="str">
            <v>SNYB</v>
          </cell>
          <cell r="B274" t="str">
            <v>TITO TEIXEIRA</v>
          </cell>
          <cell r="C274" t="str">
            <v>MG0047_3134202</v>
          </cell>
          <cell r="D274" t="str">
            <v>ITUIUTABA</v>
          </cell>
          <cell r="E274" t="str">
            <v>MG</v>
          </cell>
          <cell r="F274" t="str">
            <v>û</v>
          </cell>
        </row>
        <row r="275">
          <cell r="A275" t="str">
            <v>N776</v>
          </cell>
          <cell r="B275" t="str">
            <v>AEROPORTO PRÉ-PLANEJADO EM SEDE DE UTP</v>
          </cell>
          <cell r="C275" t="str">
            <v>RS-014_4311007</v>
          </cell>
          <cell r="D275" t="str">
            <v>JAGUARÃO</v>
          </cell>
          <cell r="E275" t="str">
            <v>RS</v>
          </cell>
          <cell r="F275" t="str">
            <v>û</v>
          </cell>
        </row>
        <row r="276">
          <cell r="A276" t="str">
            <v>SWDN</v>
          </cell>
          <cell r="B276" t="str">
            <v>DIANÓPOLIS</v>
          </cell>
          <cell r="C276" t="str">
            <v>TO0006_1707009</v>
          </cell>
          <cell r="D276" t="str">
            <v>DIANÓPOLIS</v>
          </cell>
          <cell r="E276" t="str">
            <v>TO</v>
          </cell>
          <cell r="F276" t="str">
            <v>û</v>
          </cell>
        </row>
        <row r="277">
          <cell r="A277" t="str">
            <v>N858</v>
          </cell>
          <cell r="B277" t="str">
            <v>AEROPORTO PRÉ-PLANEJADO FORA DE SEDE DE UTP</v>
          </cell>
          <cell r="C277" t="str">
            <v>MT-001_5101001</v>
          </cell>
          <cell r="D277" t="str">
            <v>ARAGUAIANA</v>
          </cell>
          <cell r="E277" t="str">
            <v>MT</v>
          </cell>
          <cell r="F277" t="str">
            <v>û</v>
          </cell>
        </row>
        <row r="278">
          <cell r="A278" t="str">
            <v>SSCP</v>
          </cell>
          <cell r="B278" t="str">
            <v>FRANCISCO LACERDA JÚNIOR</v>
          </cell>
          <cell r="C278" t="str">
            <v>PR0015_4106407</v>
          </cell>
          <cell r="D278" t="str">
            <v>CORNÉLIO PROCÓPIO</v>
          </cell>
          <cell r="E278" t="str">
            <v>PR</v>
          </cell>
          <cell r="F278" t="str">
            <v>û</v>
          </cell>
        </row>
        <row r="279">
          <cell r="A279" t="str">
            <v>N488</v>
          </cell>
          <cell r="B279" t="str">
            <v>AEROPORTO PRÉ-PLANEJADO EM SEDE DE UTP</v>
          </cell>
          <cell r="C279" t="str">
            <v>MG-001_3100609</v>
          </cell>
          <cell r="D279" t="str">
            <v>ÁGUA BOA</v>
          </cell>
          <cell r="E279" t="str">
            <v>MG</v>
          </cell>
          <cell r="F279" t="str">
            <v>û</v>
          </cell>
        </row>
        <row r="280">
          <cell r="A280" t="str">
            <v>SBBQ</v>
          </cell>
          <cell r="B280" t="str">
            <v>MAJOR BRIGADEIRO DOORGAL BORGES</v>
          </cell>
          <cell r="C280" t="str">
            <v>MG9002_3105608</v>
          </cell>
          <cell r="D280" t="str">
            <v>BARBACENA</v>
          </cell>
          <cell r="E280" t="str">
            <v>MG</v>
          </cell>
          <cell r="F280" t="str">
            <v>û</v>
          </cell>
        </row>
        <row r="281">
          <cell r="A281" t="str">
            <v>N401</v>
          </cell>
          <cell r="B281" t="str">
            <v>AEROPORTO PRÉ-PLANEJADO EM SEDE DE UTP</v>
          </cell>
          <cell r="C281" t="str">
            <v>RJ-018_3304706</v>
          </cell>
          <cell r="D281" t="str">
            <v>SANTO ANTÔNIO DE PÁDUA</v>
          </cell>
          <cell r="E281" t="str">
            <v>RJ</v>
          </cell>
          <cell r="F281" t="str">
            <v>û</v>
          </cell>
        </row>
        <row r="282">
          <cell r="A282" t="str">
            <v>N199</v>
          </cell>
          <cell r="B282" t="str">
            <v>AEROPORTO PRÉ-PLANEJADO EM SEDE DE UTP</v>
          </cell>
          <cell r="C282" t="str">
            <v>MS-008_5006358</v>
          </cell>
          <cell r="D282" t="str">
            <v>PARANHOS</v>
          </cell>
          <cell r="E282" t="str">
            <v>MS</v>
          </cell>
          <cell r="F282" t="str">
            <v>û</v>
          </cell>
        </row>
        <row r="283">
          <cell r="A283" t="str">
            <v>N178</v>
          </cell>
          <cell r="B283" t="str">
            <v>AEROPORTO PRÉ-PLANEJADO EM SEDE DE UTP</v>
          </cell>
          <cell r="C283" t="str">
            <v>GO-009_5209952</v>
          </cell>
          <cell r="D283" t="str">
            <v>INDIARA</v>
          </cell>
          <cell r="E283" t="str">
            <v>GO</v>
          </cell>
          <cell r="F283" t="str">
            <v>û</v>
          </cell>
        </row>
        <row r="284">
          <cell r="A284" t="str">
            <v>N489</v>
          </cell>
          <cell r="B284" t="str">
            <v>AEROPORTO PRÉ-PLANEJADO EM SEDE DE UTP</v>
          </cell>
          <cell r="C284" t="str">
            <v>MG-002_3100906</v>
          </cell>
          <cell r="D284" t="str">
            <v>ÁGUAS FORMOSAS</v>
          </cell>
          <cell r="E284" t="str">
            <v>MG</v>
          </cell>
          <cell r="F284" t="str">
            <v>û</v>
          </cell>
        </row>
        <row r="285">
          <cell r="A285" t="str">
            <v>N390</v>
          </cell>
          <cell r="B285" t="str">
            <v>AEROPORTO PRÉ-PLANEJADO FORA DE SEDE DE UTP</v>
          </cell>
          <cell r="C285" t="str">
            <v>MA-013_2104677</v>
          </cell>
          <cell r="D285" t="str">
            <v>GOVERNADOR NUNES FREIRE</v>
          </cell>
          <cell r="E285" t="str">
            <v>MA</v>
          </cell>
          <cell r="F285" t="str">
            <v>û</v>
          </cell>
        </row>
        <row r="286">
          <cell r="A286" t="str">
            <v>N756</v>
          </cell>
          <cell r="B286" t="str">
            <v>AEROPORTO PRÉ-PLANEJADO EM SEDE DE UTP</v>
          </cell>
          <cell r="C286" t="str">
            <v>MT-007_5106307</v>
          </cell>
          <cell r="D286" t="str">
            <v>PARANATINGA</v>
          </cell>
          <cell r="E286" t="str">
            <v>MT</v>
          </cell>
          <cell r="F286" t="str">
            <v>û</v>
          </cell>
        </row>
        <row r="287">
          <cell r="A287" t="str">
            <v>SSCQ</v>
          </cell>
          <cell r="B287" t="str">
            <v>SAICÃ</v>
          </cell>
          <cell r="C287" t="str">
            <v>RS9001_4302907</v>
          </cell>
          <cell r="D287" t="str">
            <v>Cacequi</v>
          </cell>
          <cell r="E287" t="str">
            <v>RS</v>
          </cell>
          <cell r="F287" t="str">
            <v>û</v>
          </cell>
        </row>
        <row r="288">
          <cell r="A288" t="str">
            <v>N936</v>
          </cell>
          <cell r="B288" t="str">
            <v>AEROPORTO PRÉ-PLANEJADO EM SEDE DE UTP</v>
          </cell>
          <cell r="C288" t="str">
            <v>GO-015_5219308</v>
          </cell>
          <cell r="D288" t="str">
            <v>SANTA HELENA DE GOIÁS</v>
          </cell>
          <cell r="E288" t="str">
            <v>GO</v>
          </cell>
          <cell r="F288" t="str">
            <v>û</v>
          </cell>
        </row>
        <row r="289">
          <cell r="A289" t="str">
            <v>SWUD</v>
          </cell>
          <cell r="B289" t="str">
            <v>DEPUTADO OSWALDO TOLENTINO</v>
          </cell>
          <cell r="C289" t="str">
            <v>MG0069_3116605</v>
          </cell>
          <cell r="D289" t="str">
            <v>CLÁUDIO</v>
          </cell>
          <cell r="E289" t="str">
            <v>MG</v>
          </cell>
          <cell r="F289" t="str">
            <v>û</v>
          </cell>
        </row>
        <row r="290">
          <cell r="A290" t="str">
            <v>N449</v>
          </cell>
          <cell r="B290" t="str">
            <v>AEROPORTO PRÉ-PLANEJADO EM SEDE DE UTP</v>
          </cell>
          <cell r="C290" t="str">
            <v>GO-002_5203104</v>
          </cell>
          <cell r="D290" t="str">
            <v>BALIZA</v>
          </cell>
          <cell r="E290" t="str">
            <v>GO</v>
          </cell>
          <cell r="F290" t="str">
            <v>û</v>
          </cell>
        </row>
        <row r="291">
          <cell r="A291" t="str">
            <v>SNMN</v>
          </cell>
          <cell r="B291" t="str">
            <v>MINAS NOVAS</v>
          </cell>
          <cell r="C291" t="str">
            <v>MG0075_3141801</v>
          </cell>
          <cell r="D291" t="str">
            <v>MINAS NOVAS</v>
          </cell>
          <cell r="E291" t="str">
            <v>MG</v>
          </cell>
          <cell r="F291" t="str">
            <v>û</v>
          </cell>
        </row>
        <row r="292">
          <cell r="A292" t="str">
            <v>SWNA</v>
          </cell>
          <cell r="B292" t="str">
            <v>NOVO ARIPUANÃ</v>
          </cell>
          <cell r="C292" t="str">
            <v>AM0050_1303304</v>
          </cell>
          <cell r="D292" t="str">
            <v>NOVO ARIPUANÃ</v>
          </cell>
          <cell r="E292" t="str">
            <v>AM</v>
          </cell>
          <cell r="F292" t="str">
            <v>û</v>
          </cell>
        </row>
        <row r="293">
          <cell r="A293" t="str">
            <v>N202</v>
          </cell>
          <cell r="B293" t="str">
            <v>AEROPORTO PRÉ-PLANEJADO EM SEDE DE UTP</v>
          </cell>
          <cell r="C293" t="str">
            <v>RS-019_4315073</v>
          </cell>
          <cell r="D293" t="str">
            <v>PORTO VERA CRUZ</v>
          </cell>
          <cell r="E293" t="str">
            <v>RS</v>
          </cell>
          <cell r="F293" t="str">
            <v>û</v>
          </cell>
        </row>
        <row r="294">
          <cell r="A294" t="str">
            <v>N180</v>
          </cell>
          <cell r="B294" t="str">
            <v>AEROPORTO PRÉ-PLANEJADO EM SEDE DE UTP</v>
          </cell>
          <cell r="C294" t="str">
            <v>RS-021_4315305</v>
          </cell>
          <cell r="D294" t="str">
            <v>QUARAÍ</v>
          </cell>
          <cell r="E294" t="str">
            <v>RS</v>
          </cell>
          <cell r="F294" t="str">
            <v>û</v>
          </cell>
        </row>
        <row r="295">
          <cell r="A295" t="str">
            <v>N397</v>
          </cell>
          <cell r="B295" t="str">
            <v>AEROPORTO PRÉ-PLANEJADO EM SEDE DE UTP</v>
          </cell>
          <cell r="C295" t="str">
            <v>BA-030_2931053</v>
          </cell>
          <cell r="D295" t="str">
            <v>TANQUE NOVO</v>
          </cell>
          <cell r="E295" t="str">
            <v>BA</v>
          </cell>
          <cell r="F295" t="str">
            <v>û</v>
          </cell>
        </row>
        <row r="296">
          <cell r="A296" t="str">
            <v>N753</v>
          </cell>
          <cell r="B296" t="str">
            <v>AEROPORTO PRÉ-PLANEJADO EM SEDE DE UTP</v>
          </cell>
          <cell r="C296" t="str">
            <v>RS-004_4304002</v>
          </cell>
          <cell r="D296" t="str">
            <v>CAMPO NOVO</v>
          </cell>
          <cell r="E296" t="str">
            <v>RS</v>
          </cell>
          <cell r="F296" t="str">
            <v>û</v>
          </cell>
        </row>
        <row r="297">
          <cell r="A297" t="str">
            <v>N201</v>
          </cell>
          <cell r="B297" t="str">
            <v>AEROPORTO PRÉ-PLANEJADO EM SEDE DE UTP</v>
          </cell>
          <cell r="C297" t="str">
            <v>RS-018_4315057</v>
          </cell>
          <cell r="D297" t="str">
            <v>PORTO MAUÁ</v>
          </cell>
          <cell r="E297" t="str">
            <v>RS</v>
          </cell>
          <cell r="F297" t="str">
            <v>û</v>
          </cell>
        </row>
        <row r="298">
          <cell r="A298" t="str">
            <v>N541</v>
          </cell>
          <cell r="B298" t="str">
            <v>AEROPORTO PRÉ-PLANEJADO FORA DE SEDE DE UTP</v>
          </cell>
          <cell r="C298" t="str">
            <v>MG-041_3170800</v>
          </cell>
          <cell r="D298" t="str">
            <v>VÁRZEA DA PALMA</v>
          </cell>
          <cell r="E298" t="str">
            <v>MG</v>
          </cell>
          <cell r="F298" t="str">
            <v>û</v>
          </cell>
        </row>
        <row r="299">
          <cell r="A299" t="str">
            <v>N425</v>
          </cell>
          <cell r="B299" t="str">
            <v>AEROPORTO PRÉ-PLANEJADO EM SEDE DE UTP</v>
          </cell>
          <cell r="C299" t="str">
            <v>MG-009_3111101</v>
          </cell>
          <cell r="D299" t="str">
            <v>CAMPINA VERDE</v>
          </cell>
          <cell r="E299" t="str">
            <v>MG</v>
          </cell>
          <cell r="F299" t="str">
            <v>û</v>
          </cell>
        </row>
        <row r="300">
          <cell r="A300" t="str">
            <v>SSCD</v>
          </cell>
          <cell r="B300" t="str">
            <v>CHAPADÃO DO SUL</v>
          </cell>
          <cell r="C300" t="str">
            <v>MS0007_5002951</v>
          </cell>
          <cell r="D300" t="str">
            <v>CHAPADÃO DO SUL</v>
          </cell>
          <cell r="E300" t="str">
            <v>MS</v>
          </cell>
          <cell r="F300" t="str">
            <v>û</v>
          </cell>
        </row>
        <row r="301">
          <cell r="A301" t="str">
            <v>N479</v>
          </cell>
          <cell r="B301" t="str">
            <v>AEROPORTO PRÉ-PLANEJADO EM SEDE DE UTP</v>
          </cell>
          <cell r="C301" t="str">
            <v>MG-022_3143500</v>
          </cell>
          <cell r="D301" t="str">
            <v>MORADA NOVA DE MINAS</v>
          </cell>
          <cell r="E301" t="str">
            <v>MG</v>
          </cell>
          <cell r="F301" t="str">
            <v>û</v>
          </cell>
        </row>
        <row r="302">
          <cell r="A302" t="str">
            <v>N148</v>
          </cell>
          <cell r="B302" t="str">
            <v>AEROPORTO PRÉ-PLANEJADO EM SEDE DE UTP</v>
          </cell>
          <cell r="C302" t="str">
            <v>PB-003_2505808</v>
          </cell>
          <cell r="D302" t="str">
            <v>DUAS ESTRADAS</v>
          </cell>
          <cell r="E302" t="str">
            <v>PB</v>
          </cell>
          <cell r="F302" t="str">
            <v>û</v>
          </cell>
        </row>
        <row r="303">
          <cell r="A303" t="str">
            <v>SWJP</v>
          </cell>
          <cell r="B303" t="str">
            <v>VILA BITTENCOURT</v>
          </cell>
          <cell r="C303" t="str">
            <v>AM0046_1302108</v>
          </cell>
          <cell r="D303" t="str">
            <v>JAPURÁ</v>
          </cell>
          <cell r="E303" t="str">
            <v>AM</v>
          </cell>
          <cell r="F303" t="str">
            <v>û</v>
          </cell>
        </row>
        <row r="304">
          <cell r="A304" t="str">
            <v>N273</v>
          </cell>
          <cell r="B304" t="str">
            <v>AEROPORTO PRÉ-PLANEJADO FORA DE SEDE DE UTP</v>
          </cell>
          <cell r="C304" t="str">
            <v>PE-004_2601706</v>
          </cell>
          <cell r="D304" t="str">
            <v>BELO JARDIM</v>
          </cell>
          <cell r="E304" t="str">
            <v>PE</v>
          </cell>
          <cell r="F304" t="str">
            <v>û</v>
          </cell>
        </row>
        <row r="305">
          <cell r="A305" t="str">
            <v>N528</v>
          </cell>
          <cell r="B305" t="str">
            <v>AEROPORTO PRÉ-PLANEJADO EM SEDE DE UTP</v>
          </cell>
          <cell r="C305" t="str">
            <v>MS-004_5001904</v>
          </cell>
          <cell r="D305" t="str">
            <v>BATAGUASSU</v>
          </cell>
          <cell r="E305" t="str">
            <v>MS</v>
          </cell>
          <cell r="F305" t="str">
            <v>û</v>
          </cell>
        </row>
        <row r="306">
          <cell r="A306" t="str">
            <v>SSQZ</v>
          </cell>
          <cell r="B306" t="str">
            <v>MIMOSO DO OESTE</v>
          </cell>
          <cell r="C306" t="str">
            <v>BA0033_2919553</v>
          </cell>
          <cell r="D306" t="str">
            <v>LUÍS EDUARDO MAGALHÃES</v>
          </cell>
          <cell r="E306" t="str">
            <v>BA</v>
          </cell>
          <cell r="F306" t="str">
            <v>û</v>
          </cell>
        </row>
        <row r="307">
          <cell r="A307" t="str">
            <v>SSFL</v>
          </cell>
          <cell r="B307" t="str">
            <v>JOÃO PEREIRA DOS SANTOS FILHO</v>
          </cell>
          <cell r="C307" t="str">
            <v>PI0006_2204303</v>
          </cell>
          <cell r="D307" t="str">
            <v>FRONTEIRAS</v>
          </cell>
          <cell r="E307" t="str">
            <v>PI</v>
          </cell>
          <cell r="F307" t="str">
            <v>û</v>
          </cell>
        </row>
        <row r="308">
          <cell r="A308" t="str">
            <v>N866</v>
          </cell>
          <cell r="B308" t="str">
            <v>AEROPORTO PRÉ-PLANEJADO EM SEDE DE UTP</v>
          </cell>
          <cell r="C308" t="str">
            <v>PA-022_1508001</v>
          </cell>
          <cell r="D308" t="str">
            <v>TOMÉ-AÇU</v>
          </cell>
          <cell r="E308" t="str">
            <v>PA</v>
          </cell>
          <cell r="F308" t="str">
            <v>û</v>
          </cell>
        </row>
        <row r="309">
          <cell r="A309" t="str">
            <v>SNJP</v>
          </cell>
          <cell r="B309" t="str">
            <v>JOÃO PINHEIRO</v>
          </cell>
          <cell r="C309" t="str">
            <v>MG0036_3136306</v>
          </cell>
          <cell r="D309" t="str">
            <v>JOÃO PINHEIRO</v>
          </cell>
          <cell r="E309" t="str">
            <v>MG</v>
          </cell>
          <cell r="F309" t="str">
            <v>û</v>
          </cell>
        </row>
        <row r="310">
          <cell r="A310" t="str">
            <v>N840</v>
          </cell>
          <cell r="B310" t="str">
            <v>AEROPORTO PRÉ-PLANEJADO EM SEDE DE UTP</v>
          </cell>
          <cell r="C310" t="str">
            <v>GO-018_5220108</v>
          </cell>
          <cell r="D310" t="str">
            <v>SÃO LUÍS DE MONTES BELOS</v>
          </cell>
          <cell r="E310" t="str">
            <v>GO</v>
          </cell>
          <cell r="F310" t="str">
            <v>û</v>
          </cell>
        </row>
        <row r="311">
          <cell r="A311" t="str">
            <v>SNPY</v>
          </cell>
          <cell r="B311" t="str">
            <v>SÃO SEBASTIÃO DO PARAÍSO</v>
          </cell>
          <cell r="C311" t="str">
            <v>MG0013_3164704</v>
          </cell>
          <cell r="D311" t="str">
            <v>SÃO SEBASTIÃO DO PARAÍSO</v>
          </cell>
          <cell r="E311" t="str">
            <v>MG</v>
          </cell>
          <cell r="F311" t="str">
            <v>û</v>
          </cell>
        </row>
        <row r="312">
          <cell r="A312" t="str">
            <v>SNJB</v>
          </cell>
          <cell r="B312" t="str">
            <v>JACOBINA</v>
          </cell>
          <cell r="C312" t="str">
            <v>BA0062_2917508</v>
          </cell>
          <cell r="D312" t="str">
            <v>JACOBINA</v>
          </cell>
          <cell r="E312" t="str">
            <v>BA</v>
          </cell>
          <cell r="F312" t="str">
            <v>û</v>
          </cell>
        </row>
        <row r="313">
          <cell r="A313" t="str">
            <v>N678</v>
          </cell>
          <cell r="B313" t="str">
            <v>AEROPORTO PRÉ-PLANEJADO EM SEDE DE UTP</v>
          </cell>
          <cell r="C313" t="str">
            <v>PR-002_4101606</v>
          </cell>
          <cell r="D313" t="str">
            <v>ARAPOTI</v>
          </cell>
          <cell r="E313" t="str">
            <v>PR</v>
          </cell>
          <cell r="F313" t="str">
            <v>û</v>
          </cell>
        </row>
        <row r="314">
          <cell r="A314" t="str">
            <v>SDKE</v>
          </cell>
          <cell r="B314" t="str">
            <v>VALENÇA DO PIAUÍ</v>
          </cell>
          <cell r="C314" t="str">
            <v>PI0073_2211308</v>
          </cell>
          <cell r="D314" t="str">
            <v>VALENÇA DO PIAUÍ</v>
          </cell>
          <cell r="E314" t="str">
            <v>PI</v>
          </cell>
          <cell r="F314" t="str">
            <v>û</v>
          </cell>
        </row>
        <row r="315">
          <cell r="A315" t="str">
            <v>N533</v>
          </cell>
          <cell r="B315" t="str">
            <v>AEROPORTO PRÉ-PLANEJADO EM SEDE DE UTP</v>
          </cell>
          <cell r="C315" t="str">
            <v>MG-005_3108206</v>
          </cell>
          <cell r="D315" t="str">
            <v>BONFINÓPOLIS DE MINAS</v>
          </cell>
          <cell r="E315" t="str">
            <v>MG</v>
          </cell>
          <cell r="F315" t="str">
            <v>û</v>
          </cell>
        </row>
        <row r="316">
          <cell r="A316" t="str">
            <v>N689</v>
          </cell>
          <cell r="B316" t="str">
            <v>AEROPORTO PRÉ-PLANEJADO EM SEDE DE UTP</v>
          </cell>
          <cell r="C316" t="str">
            <v>AM-005_1302306</v>
          </cell>
          <cell r="D316" t="str">
            <v>JUTAÍ</v>
          </cell>
          <cell r="E316" t="str">
            <v>AM</v>
          </cell>
          <cell r="F316" t="str">
            <v>û</v>
          </cell>
        </row>
        <row r="317">
          <cell r="A317" t="str">
            <v>SDXJ</v>
          </cell>
          <cell r="B317" t="str">
            <v>COSTA RICA</v>
          </cell>
          <cell r="C317" t="str">
            <v>MS0017_5003256</v>
          </cell>
          <cell r="D317" t="str">
            <v>COSTA RICA</v>
          </cell>
          <cell r="E317" t="str">
            <v>MS</v>
          </cell>
          <cell r="F317" t="str">
            <v>û</v>
          </cell>
        </row>
        <row r="318">
          <cell r="A318" t="str">
            <v>SN3U</v>
          </cell>
          <cell r="B318" t="str">
            <v>SOUTO SOARES</v>
          </cell>
          <cell r="C318" t="str">
            <v>BA0049_2930808</v>
          </cell>
          <cell r="D318" t="str">
            <v>SOUTO SOARES</v>
          </cell>
          <cell r="E318" t="str">
            <v>BA</v>
          </cell>
          <cell r="F318" t="str">
            <v>û</v>
          </cell>
        </row>
        <row r="319">
          <cell r="A319" t="str">
            <v>SIBY</v>
          </cell>
          <cell r="B319" t="str">
            <v>LOURIVAL NUNES DE FARIAS</v>
          </cell>
          <cell r="C319" t="str">
            <v>PB0009_2509701</v>
          </cell>
          <cell r="D319" t="str">
            <v>MONTEIRO</v>
          </cell>
          <cell r="E319" t="str">
            <v>PB</v>
          </cell>
          <cell r="F319" t="str">
            <v>û</v>
          </cell>
        </row>
        <row r="320">
          <cell r="A320" t="str">
            <v>N499</v>
          </cell>
          <cell r="B320" t="str">
            <v>AEROPORTO PRÉ-PLANEJADO EM SEDE DE UTP</v>
          </cell>
          <cell r="C320" t="str">
            <v>MS-001_5000609</v>
          </cell>
          <cell r="D320" t="str">
            <v>AMAMBAI</v>
          </cell>
          <cell r="E320" t="str">
            <v>MS</v>
          </cell>
          <cell r="F320" t="str">
            <v>û</v>
          </cell>
        </row>
        <row r="321">
          <cell r="A321" t="str">
            <v>N424</v>
          </cell>
          <cell r="B321" t="str">
            <v>AEROPORTO PRÉ-PLANEJADO EM SEDE DE UTP</v>
          </cell>
          <cell r="C321" t="str">
            <v>MG-007_3109303</v>
          </cell>
          <cell r="D321" t="str">
            <v>BURITIS</v>
          </cell>
          <cell r="E321" t="str">
            <v>MG</v>
          </cell>
          <cell r="F321" t="str">
            <v>û</v>
          </cell>
        </row>
        <row r="322">
          <cell r="A322" t="str">
            <v>N554</v>
          </cell>
          <cell r="B322" t="str">
            <v>AEROPORTO PRÉ-PLANEJADO EM SEDE DE UTP</v>
          </cell>
          <cell r="C322" t="str">
            <v>AP-002_1600204</v>
          </cell>
          <cell r="D322" t="str">
            <v>CALÇOENE</v>
          </cell>
          <cell r="E322" t="str">
            <v>AP</v>
          </cell>
          <cell r="F322" t="str">
            <v>û</v>
          </cell>
        </row>
        <row r="323">
          <cell r="A323" t="str">
            <v>SIBZ</v>
          </cell>
          <cell r="B323" t="str">
            <v>ITAPORANGA</v>
          </cell>
          <cell r="C323" t="str">
            <v>PB0010_2507002</v>
          </cell>
          <cell r="D323" t="str">
            <v>ITAPORANGA</v>
          </cell>
          <cell r="E323" t="str">
            <v>PB</v>
          </cell>
          <cell r="F323" t="str">
            <v>û</v>
          </cell>
        </row>
        <row r="324">
          <cell r="A324" t="str">
            <v>N819</v>
          </cell>
          <cell r="B324" t="str">
            <v>AEROPORTO PRÉ-PLANEJADO EM SEDE DE UTP</v>
          </cell>
          <cell r="C324" t="str">
            <v>AL-003_2708006</v>
          </cell>
          <cell r="D324" t="str">
            <v>SANTANA DO IPANEMA</v>
          </cell>
          <cell r="E324" t="str">
            <v>AL</v>
          </cell>
          <cell r="F324" t="str">
            <v>û</v>
          </cell>
        </row>
        <row r="325">
          <cell r="A325" t="str">
            <v>N796</v>
          </cell>
          <cell r="B325" t="str">
            <v>AEROPORTO PRÉ-PLANEJADO EM SEDE DE UTP</v>
          </cell>
          <cell r="C325" t="str">
            <v>MG-031_3155603</v>
          </cell>
          <cell r="D325" t="str">
            <v>RIO PARDO DE MINAS</v>
          </cell>
          <cell r="E325" t="str">
            <v>MG</v>
          </cell>
          <cell r="F325" t="str">
            <v>û</v>
          </cell>
        </row>
        <row r="326">
          <cell r="A326" t="str">
            <v>SNYE</v>
          </cell>
          <cell r="B326" t="str">
            <v>PINHEIRO</v>
          </cell>
          <cell r="C326" t="str">
            <v>MA0004_2108603</v>
          </cell>
          <cell r="D326" t="str">
            <v>PINHEIRO</v>
          </cell>
          <cell r="E326" t="str">
            <v>MA</v>
          </cell>
          <cell r="F326" t="str">
            <v>û</v>
          </cell>
        </row>
        <row r="327">
          <cell r="A327" t="str">
            <v>N381</v>
          </cell>
          <cell r="B327" t="str">
            <v>AEROPORTO PRÉ-PLANEJADO FORA DE SEDE DE UTP</v>
          </cell>
          <cell r="C327" t="str">
            <v>BA-025_2925808</v>
          </cell>
          <cell r="D327" t="str">
            <v>QUEIMADAS</v>
          </cell>
          <cell r="E327" t="str">
            <v>BA</v>
          </cell>
          <cell r="F327" t="str">
            <v>û</v>
          </cell>
        </row>
        <row r="328">
          <cell r="A328" t="str">
            <v>N403</v>
          </cell>
          <cell r="B328" t="str">
            <v>AEROPORTO PRÉ-PLANEJADO EM SEDE DE UTP</v>
          </cell>
          <cell r="C328" t="str">
            <v>RN-006_2411502</v>
          </cell>
          <cell r="D328" t="str">
            <v>SANTO ANTÔNIO</v>
          </cell>
          <cell r="E328" t="str">
            <v>RN</v>
          </cell>
          <cell r="F328" t="str">
            <v>û</v>
          </cell>
        </row>
        <row r="329">
          <cell r="A329" t="str">
            <v>N781</v>
          </cell>
          <cell r="B329" t="str">
            <v>AEROPORTO PRÉ-PLANEJADO EM SEDE DE UTP</v>
          </cell>
          <cell r="C329" t="str">
            <v>MG-030_3152808</v>
          </cell>
          <cell r="D329" t="str">
            <v>PRATA</v>
          </cell>
          <cell r="E329" t="str">
            <v>MG</v>
          </cell>
          <cell r="F329" t="str">
            <v>û</v>
          </cell>
        </row>
        <row r="330">
          <cell r="A330" t="str">
            <v>SJTS</v>
          </cell>
          <cell r="B330" t="str">
            <v>TERRA SANTA</v>
          </cell>
          <cell r="C330" t="str">
            <v>PA0028_1507979</v>
          </cell>
          <cell r="D330" t="str">
            <v>TERRA SANTA</v>
          </cell>
          <cell r="E330" t="str">
            <v>PA</v>
          </cell>
          <cell r="F330" t="str">
            <v>û</v>
          </cell>
        </row>
        <row r="331">
          <cell r="A331" t="str">
            <v>SNKU</v>
          </cell>
          <cell r="B331" t="str">
            <v>CANUDOS</v>
          </cell>
          <cell r="C331" t="str">
            <v>BA0066_2906824</v>
          </cell>
          <cell r="D331" t="str">
            <v>CANUDOS</v>
          </cell>
          <cell r="E331" t="str">
            <v>BA</v>
          </cell>
          <cell r="F331" t="str">
            <v>û</v>
          </cell>
        </row>
        <row r="332">
          <cell r="A332" t="str">
            <v>SNPW</v>
          </cell>
          <cell r="B332" t="str">
            <v>FAZENDA PALMEIRA</v>
          </cell>
          <cell r="C332" t="str">
            <v>MT0263_5100607</v>
          </cell>
          <cell r="D332" t="str">
            <v>Alto Taquari</v>
          </cell>
          <cell r="E332" t="str">
            <v>MT</v>
          </cell>
          <cell r="F332" t="str">
            <v>û</v>
          </cell>
        </row>
        <row r="333">
          <cell r="A333" t="str">
            <v>N324</v>
          </cell>
          <cell r="B333" t="str">
            <v>AEROPORTO PRÉ-PLANEJADO FORA DE SEDE DE UTP</v>
          </cell>
          <cell r="C333" t="str">
            <v>SE-001_2801207</v>
          </cell>
          <cell r="D333" t="str">
            <v>CANINDÉ DE SÃO FRANCISCO</v>
          </cell>
          <cell r="E333" t="str">
            <v>SE</v>
          </cell>
          <cell r="F333" t="str">
            <v>û</v>
          </cell>
        </row>
        <row r="334">
          <cell r="A334" t="str">
            <v>SSJK</v>
          </cell>
          <cell r="B334" t="str">
            <v>JÚLIO DE CASTILHOS</v>
          </cell>
          <cell r="C334" t="str">
            <v>RS0028_4311205</v>
          </cell>
          <cell r="D334" t="str">
            <v>JÚLIO DE CASTILHOS</v>
          </cell>
          <cell r="E334" t="str">
            <v>RS</v>
          </cell>
          <cell r="F334" t="str">
            <v>û</v>
          </cell>
        </row>
        <row r="335">
          <cell r="A335" t="str">
            <v>SNMK</v>
          </cell>
          <cell r="B335" t="str">
            <v>MOCAMBINHO</v>
          </cell>
          <cell r="C335" t="str">
            <v>MG0017_3135050</v>
          </cell>
          <cell r="D335" t="str">
            <v>JAÍBA</v>
          </cell>
          <cell r="E335" t="str">
            <v>MG</v>
          </cell>
          <cell r="F335" t="str">
            <v>û</v>
          </cell>
        </row>
        <row r="336">
          <cell r="A336" t="str">
            <v>N369</v>
          </cell>
          <cell r="B336" t="str">
            <v>AEROPORTO PRÉ-PLANEJADO EM SEDE DE UTP</v>
          </cell>
          <cell r="C336" t="str">
            <v>BA-021_2923357</v>
          </cell>
          <cell r="D336" t="str">
            <v>OUROLÂNDIA</v>
          </cell>
          <cell r="E336" t="str">
            <v>BA</v>
          </cell>
          <cell r="F336" t="str">
            <v>û</v>
          </cell>
        </row>
        <row r="337">
          <cell r="A337" t="str">
            <v>SNCS</v>
          </cell>
          <cell r="B337" t="str">
            <v>CAMPOS SALES</v>
          </cell>
          <cell r="C337" t="str">
            <v>CE0009_2302701</v>
          </cell>
          <cell r="D337" t="str">
            <v>CAMPOS SALES</v>
          </cell>
          <cell r="E337" t="str">
            <v>CE</v>
          </cell>
          <cell r="F337" t="str">
            <v>û</v>
          </cell>
        </row>
        <row r="338">
          <cell r="A338" t="str">
            <v>N098</v>
          </cell>
          <cell r="B338" t="str">
            <v>AEROPORTO PRÉ-PLANEJADO EM SEDE DE UTP</v>
          </cell>
          <cell r="C338" t="str">
            <v>PA-012_1502764</v>
          </cell>
          <cell r="D338" t="str">
            <v>CUMARU DO NORTE</v>
          </cell>
          <cell r="E338" t="str">
            <v>PA</v>
          </cell>
          <cell r="F338" t="str">
            <v>û</v>
          </cell>
        </row>
        <row r="339">
          <cell r="A339" t="str">
            <v>SICB</v>
          </cell>
          <cell r="B339" t="str">
            <v>PEDRO SIMÕES PIMENTA</v>
          </cell>
          <cell r="C339" t="str">
            <v>PB0007_2505105</v>
          </cell>
          <cell r="D339" t="str">
            <v>CUITÉ</v>
          </cell>
          <cell r="E339" t="str">
            <v>PB</v>
          </cell>
          <cell r="F339" t="str">
            <v>û</v>
          </cell>
        </row>
        <row r="340">
          <cell r="A340" t="str">
            <v>N371</v>
          </cell>
          <cell r="B340" t="str">
            <v>AEROPORTO PRÉ-PLANEJADO FORA DE SEDE DE UTP</v>
          </cell>
          <cell r="C340" t="str">
            <v>AC-003_1200500</v>
          </cell>
          <cell r="D340" t="str">
            <v>SENA MADUREIRA</v>
          </cell>
          <cell r="E340" t="str">
            <v>AC</v>
          </cell>
          <cell r="F340" t="str">
            <v>û</v>
          </cell>
        </row>
        <row r="341">
          <cell r="A341" t="str">
            <v>N625</v>
          </cell>
          <cell r="B341" t="str">
            <v>AEROPORTO PRÉ-PLANEJADO EM SEDE DE UTP</v>
          </cell>
          <cell r="C341" t="str">
            <v>PI-004_2203701</v>
          </cell>
          <cell r="D341" t="str">
            <v>ESPERANTINA</v>
          </cell>
          <cell r="E341" t="str">
            <v>PI</v>
          </cell>
          <cell r="F341" t="str">
            <v>û</v>
          </cell>
        </row>
        <row r="342">
          <cell r="A342" t="str">
            <v>N088</v>
          </cell>
          <cell r="B342" t="str">
            <v>AEROPORTO PRÉ-PLANEJADO EM SEDE DE UTP</v>
          </cell>
          <cell r="C342" t="str">
            <v>PB-002_2503605</v>
          </cell>
          <cell r="D342" t="str">
            <v>CAIÇARA</v>
          </cell>
          <cell r="E342" t="str">
            <v>PB</v>
          </cell>
          <cell r="F342" t="str">
            <v>û</v>
          </cell>
        </row>
        <row r="343">
          <cell r="A343" t="str">
            <v>N370</v>
          </cell>
          <cell r="B343" t="str">
            <v>AEROPORTO PRÉ-PLANEJADO EM SEDE DE UTP</v>
          </cell>
          <cell r="C343" t="str">
            <v>BA-022_2923506</v>
          </cell>
          <cell r="D343" t="str">
            <v>PALMEIRAS</v>
          </cell>
          <cell r="E343" t="str">
            <v>BA</v>
          </cell>
          <cell r="F343" t="str">
            <v>û</v>
          </cell>
        </row>
        <row r="344">
          <cell r="A344" t="str">
            <v>N033</v>
          </cell>
          <cell r="B344" t="str">
            <v>AEROPORTO PRÉ-PLANEJADO EM SEDE DE UTP</v>
          </cell>
          <cell r="C344" t="str">
            <v>AM-003_1300144</v>
          </cell>
          <cell r="D344" t="str">
            <v>APUÍ</v>
          </cell>
          <cell r="E344" t="str">
            <v>AM</v>
          </cell>
          <cell r="F344" t="str">
            <v>û</v>
          </cell>
        </row>
        <row r="345">
          <cell r="A345" t="str">
            <v>SSIQ</v>
          </cell>
          <cell r="B345" t="str">
            <v>ITAQUI</v>
          </cell>
          <cell r="C345" t="str">
            <v>RS0045_4310603</v>
          </cell>
          <cell r="D345" t="str">
            <v>ITAQUI</v>
          </cell>
          <cell r="E345" t="str">
            <v>RS</v>
          </cell>
          <cell r="F345" t="str">
            <v>û</v>
          </cell>
        </row>
        <row r="346">
          <cell r="A346" t="str">
            <v>N610</v>
          </cell>
          <cell r="B346" t="str">
            <v>AEROPORTO PRÉ-PLANEJADO EM SEDE DE UTP</v>
          </cell>
          <cell r="C346" t="str">
            <v>GO-007_5206404</v>
          </cell>
          <cell r="D346" t="str">
            <v>CRIXÁS</v>
          </cell>
          <cell r="E346" t="str">
            <v>GO</v>
          </cell>
          <cell r="F346" t="str">
            <v>û</v>
          </cell>
        </row>
        <row r="347">
          <cell r="A347" t="str">
            <v>SSQC</v>
          </cell>
          <cell r="B347" t="str">
            <v>AGUINALDO PEREIRA LIMA</v>
          </cell>
          <cell r="C347" t="str">
            <v>PR0029_4126603</v>
          </cell>
          <cell r="D347" t="str">
            <v>SIQUEIRA CAMPOS</v>
          </cell>
          <cell r="E347" t="str">
            <v>PR</v>
          </cell>
          <cell r="F347" t="str">
            <v>û</v>
          </cell>
        </row>
        <row r="348">
          <cell r="A348" t="str">
            <v>SDLY</v>
          </cell>
          <cell r="B348" t="str">
            <v>ARMANDO NATALI</v>
          </cell>
          <cell r="C348" t="str">
            <v>SP0071_3529302</v>
          </cell>
          <cell r="D348" t="str">
            <v>MATÃO</v>
          </cell>
          <cell r="E348" t="str">
            <v>SP</v>
          </cell>
          <cell r="F348" t="str">
            <v>û</v>
          </cell>
        </row>
        <row r="349">
          <cell r="A349" t="str">
            <v>N093</v>
          </cell>
          <cell r="B349" t="str">
            <v>AEROPORTO PRÉ-PLANEJADO FORA DE SEDE DE UTP</v>
          </cell>
          <cell r="C349" t="str">
            <v>PA-006_1501451</v>
          </cell>
          <cell r="D349" t="str">
            <v>BELTERRA</v>
          </cell>
          <cell r="E349" t="str">
            <v>PA</v>
          </cell>
          <cell r="F349" t="str">
            <v>û</v>
          </cell>
        </row>
        <row r="350">
          <cell r="A350" t="str">
            <v>N227</v>
          </cell>
          <cell r="B350" t="str">
            <v>AEROPORTO PRÉ-PLANEJADO EM SEDE DE UTP</v>
          </cell>
          <cell r="C350" t="str">
            <v>PB-005_2507309</v>
          </cell>
          <cell r="D350" t="str">
            <v>JACARAÚ</v>
          </cell>
          <cell r="E350" t="str">
            <v>PB</v>
          </cell>
          <cell r="F350" t="str">
            <v>û</v>
          </cell>
        </row>
        <row r="351">
          <cell r="A351" t="str">
            <v>SI68</v>
          </cell>
          <cell r="B351" t="str">
            <v>GELINDO STEFANUTO</v>
          </cell>
          <cell r="C351" t="str">
            <v>MT0612_5102637</v>
          </cell>
          <cell r="D351" t="str">
            <v>CAMPO NOVO DO PARECIS</v>
          </cell>
          <cell r="E351" t="str">
            <v>MT</v>
          </cell>
          <cell r="F351" t="str">
            <v>û</v>
          </cell>
        </row>
        <row r="352">
          <cell r="A352" t="str">
            <v>N175</v>
          </cell>
          <cell r="B352" t="str">
            <v>AEROPORTO PRÉ-PLANEJADO EM SEDE DE UTP</v>
          </cell>
          <cell r="C352" t="str">
            <v>MA-017_2109106</v>
          </cell>
          <cell r="D352" t="str">
            <v>PRESIDENTE DUTRA</v>
          </cell>
          <cell r="E352" t="str">
            <v>MA</v>
          </cell>
          <cell r="F352" t="str">
            <v>û</v>
          </cell>
        </row>
        <row r="353">
          <cell r="A353" t="str">
            <v>N146</v>
          </cell>
          <cell r="B353" t="str">
            <v>AEROPORTO PRÉ-PLANEJADO FORA DE SEDE DE UTP</v>
          </cell>
          <cell r="C353" t="str">
            <v>TO-003_1703701</v>
          </cell>
          <cell r="D353" t="str">
            <v>BREJINHO DE NAZARÉ</v>
          </cell>
          <cell r="E353" t="str">
            <v>TO</v>
          </cell>
          <cell r="F353" t="str">
            <v>û</v>
          </cell>
        </row>
        <row r="354">
          <cell r="A354" t="str">
            <v>SJ9A</v>
          </cell>
          <cell r="B354" t="str">
            <v>BARREIRINHA</v>
          </cell>
          <cell r="C354" t="str">
            <v>AM0111_1300508</v>
          </cell>
          <cell r="D354" t="str">
            <v>BARREIRINHA</v>
          </cell>
          <cell r="E354" t="str">
            <v>AM</v>
          </cell>
          <cell r="F354" t="str">
            <v>û</v>
          </cell>
        </row>
        <row r="355">
          <cell r="A355" t="str">
            <v>SJ7Z</v>
          </cell>
          <cell r="B355" t="str">
            <v>DE ABARÉ</v>
          </cell>
          <cell r="C355" t="str">
            <v>BA0039_2900207</v>
          </cell>
          <cell r="D355" t="str">
            <v>ABARÉ</v>
          </cell>
          <cell r="E355" t="str">
            <v>BA</v>
          </cell>
          <cell r="F355" t="str">
            <v>û</v>
          </cell>
        </row>
        <row r="356">
          <cell r="A356" t="str">
            <v>N871</v>
          </cell>
          <cell r="B356" t="str">
            <v>AEROPORTO PRÉ-PLANEJADO EM SEDE DE UTP</v>
          </cell>
          <cell r="C356" t="str">
            <v>AM-011_1304260</v>
          </cell>
          <cell r="D356" t="str">
            <v>UARINI</v>
          </cell>
          <cell r="E356" t="str">
            <v>AM</v>
          </cell>
          <cell r="F356" t="str">
            <v>û</v>
          </cell>
        </row>
        <row r="357">
          <cell r="A357" t="str">
            <v>SNGT</v>
          </cell>
          <cell r="B357" t="str">
            <v>GENTIO DO OURO</v>
          </cell>
          <cell r="C357" t="str">
            <v>BA0029_2911303</v>
          </cell>
          <cell r="D357" t="str">
            <v>GENTIO DO OURO</v>
          </cell>
          <cell r="E357" t="str">
            <v>BA</v>
          </cell>
          <cell r="F357" t="str">
            <v>û</v>
          </cell>
        </row>
        <row r="358">
          <cell r="A358" t="str">
            <v>N702</v>
          </cell>
          <cell r="B358" t="str">
            <v>AEROPORTO PRÉ-PLANEJADO EM SEDE DE UTP</v>
          </cell>
          <cell r="C358" t="str">
            <v>AM-006_1302801</v>
          </cell>
          <cell r="D358" t="str">
            <v>MARAÃ</v>
          </cell>
          <cell r="E358" t="str">
            <v>AM</v>
          </cell>
          <cell r="F358" t="str">
            <v>û</v>
          </cell>
        </row>
        <row r="359">
          <cell r="A359" t="str">
            <v>SSCI</v>
          </cell>
          <cell r="B359" t="str">
            <v>COXIM</v>
          </cell>
          <cell r="C359" t="str">
            <v>MS0012_5003306</v>
          </cell>
          <cell r="D359" t="str">
            <v>COXIM</v>
          </cell>
          <cell r="E359" t="str">
            <v>MS</v>
          </cell>
          <cell r="F359" t="str">
            <v>û</v>
          </cell>
        </row>
        <row r="360">
          <cell r="A360" t="str">
            <v>SSPM</v>
          </cell>
          <cell r="B360" t="str">
            <v>PORTO MURTINHO</v>
          </cell>
          <cell r="C360" t="str">
            <v>MS0013_5006903</v>
          </cell>
          <cell r="D360" t="str">
            <v>PORTO MURTINHO</v>
          </cell>
          <cell r="E360" t="str">
            <v>MS</v>
          </cell>
          <cell r="F360" t="str">
            <v>û</v>
          </cell>
        </row>
        <row r="361">
          <cell r="A361" t="str">
            <v>SBTS</v>
          </cell>
          <cell r="B361" t="str">
            <v>TIRIOS</v>
          </cell>
          <cell r="C361" t="str">
            <v>PA9002_1505106</v>
          </cell>
          <cell r="D361" t="str">
            <v>Óbidos</v>
          </cell>
          <cell r="E361" t="str">
            <v>PA</v>
          </cell>
          <cell r="F361" t="str">
            <v>û</v>
          </cell>
        </row>
        <row r="362">
          <cell r="A362" t="str">
            <v>SDOU</v>
          </cell>
          <cell r="B362" t="str">
            <v>JORNALISTA BENEDITO PIMENTEL</v>
          </cell>
          <cell r="C362" t="str">
            <v>SP0023_3534708</v>
          </cell>
          <cell r="D362" t="str">
            <v>OURINHOS</v>
          </cell>
          <cell r="E362" t="str">
            <v>SP</v>
          </cell>
          <cell r="F362" t="str">
            <v>û</v>
          </cell>
        </row>
        <row r="363">
          <cell r="A363" t="str">
            <v>N336</v>
          </cell>
          <cell r="B363" t="str">
            <v>AEROPORTO PRÉ-PLANEJADO EM SEDE DE UTP</v>
          </cell>
          <cell r="C363" t="str">
            <v>BA-015_2910701</v>
          </cell>
          <cell r="D363" t="str">
            <v>EUCLIDES DA CUNHA</v>
          </cell>
          <cell r="E363" t="str">
            <v>BA</v>
          </cell>
          <cell r="F363" t="str">
            <v>û</v>
          </cell>
        </row>
        <row r="364">
          <cell r="A364" t="str">
            <v>SWGI</v>
          </cell>
          <cell r="B364" t="str">
            <v>GURUPI</v>
          </cell>
          <cell r="C364" t="str">
            <v>TO0004_1709500</v>
          </cell>
          <cell r="D364" t="str">
            <v>GURUPI</v>
          </cell>
          <cell r="E364" t="str">
            <v>TO</v>
          </cell>
          <cell r="F364" t="str">
            <v>û</v>
          </cell>
        </row>
        <row r="365">
          <cell r="A365" t="str">
            <v>N764</v>
          </cell>
          <cell r="B365" t="str">
            <v>AEROPORTO PRÉ-PLANEJADO EM SEDE DE UTP</v>
          </cell>
          <cell r="C365" t="str">
            <v>RO-005_1101468</v>
          </cell>
          <cell r="D365" t="str">
            <v>PIMENTEIRAS DO OESTE</v>
          </cell>
          <cell r="E365" t="str">
            <v>RO</v>
          </cell>
          <cell r="F365" t="str">
            <v>û</v>
          </cell>
        </row>
        <row r="366">
          <cell r="A366" t="str">
            <v>SNBX</v>
          </cell>
          <cell r="B366" t="str">
            <v>BARRA</v>
          </cell>
          <cell r="C366" t="str">
            <v>BA0028_2902708</v>
          </cell>
          <cell r="D366" t="str">
            <v>BARRA</v>
          </cell>
          <cell r="E366" t="str">
            <v>BA</v>
          </cell>
          <cell r="F366" t="str">
            <v>û</v>
          </cell>
        </row>
        <row r="367">
          <cell r="A367" t="str">
            <v>N014</v>
          </cell>
          <cell r="B367" t="str">
            <v>AEROPORTO PRÉ-PLANEJADO EM SEDE DE UTP</v>
          </cell>
          <cell r="C367" t="str">
            <v>PI-001_2200509</v>
          </cell>
          <cell r="D367" t="str">
            <v>AMARANTE</v>
          </cell>
          <cell r="E367" t="str">
            <v>PI</v>
          </cell>
          <cell r="F367" t="str">
            <v>û</v>
          </cell>
        </row>
        <row r="368">
          <cell r="A368" t="str">
            <v>SSOG</v>
          </cell>
          <cell r="B368" t="str">
            <v>ARAPONGAS</v>
          </cell>
          <cell r="C368" t="str">
            <v>PR0027_4101507</v>
          </cell>
          <cell r="D368" t="str">
            <v>ARAPONGAS</v>
          </cell>
          <cell r="E368" t="str">
            <v>PR</v>
          </cell>
          <cell r="F368" t="str">
            <v>û</v>
          </cell>
        </row>
        <row r="369">
          <cell r="A369" t="str">
            <v>SBAA</v>
          </cell>
          <cell r="B369" t="str">
            <v>CONCEIÇÃO DO ARAGUAIA</v>
          </cell>
          <cell r="C369" t="str">
            <v>PA0008_1502707</v>
          </cell>
          <cell r="D369" t="str">
            <v>CONCEIÇÃO DO ARAGUAIA</v>
          </cell>
          <cell r="E369" t="str">
            <v>PA</v>
          </cell>
          <cell r="F369" t="str">
            <v>û</v>
          </cell>
        </row>
        <row r="370">
          <cell r="A370" t="str">
            <v>N293</v>
          </cell>
          <cell r="B370" t="str">
            <v>AEROPORTO PRÉ-PLANEJADO EM SEDE DE UTP</v>
          </cell>
          <cell r="C370" t="str">
            <v>AL-002_2706703</v>
          </cell>
          <cell r="D370" t="str">
            <v>PENEDO</v>
          </cell>
          <cell r="E370" t="str">
            <v>AL</v>
          </cell>
          <cell r="F370" t="str">
            <v>û</v>
          </cell>
        </row>
        <row r="371">
          <cell r="A371" t="str">
            <v>SNRJ</v>
          </cell>
          <cell r="B371" t="str">
            <v>JURUTI</v>
          </cell>
          <cell r="C371" t="str">
            <v>PA0103_1503903</v>
          </cell>
          <cell r="D371" t="str">
            <v>JURUTI</v>
          </cell>
          <cell r="E371" t="str">
            <v>PA</v>
          </cell>
          <cell r="F371" t="str">
            <v>û</v>
          </cell>
        </row>
        <row r="372">
          <cell r="A372" t="str">
            <v>SNAP</v>
          </cell>
          <cell r="B372" t="str">
            <v>JANAÚBA</v>
          </cell>
          <cell r="C372" t="str">
            <v>MG0021_3135100</v>
          </cell>
          <cell r="D372" t="str">
            <v>JANAÚBA</v>
          </cell>
          <cell r="E372" t="str">
            <v>MG</v>
          </cell>
          <cell r="F372" t="str">
            <v>û</v>
          </cell>
        </row>
        <row r="373">
          <cell r="A373" t="str">
            <v>N869</v>
          </cell>
          <cell r="B373" t="str">
            <v>AEROPORTO PRÉ-PLANEJADO EM SEDE DE UTP</v>
          </cell>
          <cell r="C373" t="str">
            <v>MT-004_5105176</v>
          </cell>
          <cell r="D373" t="str">
            <v>JURUENA</v>
          </cell>
          <cell r="E373" t="str">
            <v>MT</v>
          </cell>
          <cell r="F373" t="str">
            <v>û</v>
          </cell>
        </row>
        <row r="374">
          <cell r="A374" t="str">
            <v>SD4L</v>
          </cell>
          <cell r="B374" t="str">
            <v>MONTE CARMELO</v>
          </cell>
          <cell r="C374" t="str">
            <v>MG0067_3143104</v>
          </cell>
          <cell r="D374" t="str">
            <v>MONTE CARMELO</v>
          </cell>
          <cell r="E374" t="str">
            <v>MG</v>
          </cell>
          <cell r="F374" t="str">
            <v>û</v>
          </cell>
        </row>
        <row r="375">
          <cell r="A375" t="str">
            <v>N303</v>
          </cell>
          <cell r="B375" t="str">
            <v>AEROPORTO PRÉ-PLANEJADO EM SEDE DE UTP</v>
          </cell>
          <cell r="C375" t="str">
            <v>BA-001_2900355</v>
          </cell>
          <cell r="D375" t="str">
            <v>ADUSTINA</v>
          </cell>
          <cell r="E375" t="str">
            <v>BA</v>
          </cell>
          <cell r="F375" t="str">
            <v>û</v>
          </cell>
        </row>
        <row r="376">
          <cell r="A376" t="str">
            <v>N677</v>
          </cell>
          <cell r="B376" t="str">
            <v>AEROPORTO PRÉ-PLANEJADO EM SEDE DE UTP</v>
          </cell>
          <cell r="C376" t="str">
            <v>RN-004_2405504</v>
          </cell>
          <cell r="D376" t="str">
            <v>JARDIM DE ANGICOS</v>
          </cell>
          <cell r="E376" t="str">
            <v>RN</v>
          </cell>
          <cell r="F376" t="str">
            <v>û</v>
          </cell>
        </row>
        <row r="377">
          <cell r="A377" t="str">
            <v>N615</v>
          </cell>
          <cell r="B377" t="str">
            <v>AEROPORTO PRÉ-PLANEJADO EM SEDE DE UTP</v>
          </cell>
          <cell r="C377" t="str">
            <v>BA-012_2909901</v>
          </cell>
          <cell r="D377" t="str">
            <v>CURAÇÁ</v>
          </cell>
          <cell r="E377" t="str">
            <v>BA</v>
          </cell>
          <cell r="F377" t="str">
            <v>û</v>
          </cell>
        </row>
        <row r="378">
          <cell r="A378" t="str">
            <v>N109</v>
          </cell>
          <cell r="B378" t="str">
            <v>AEROPORTO PRÉ-PLANEJADO EM SEDE DE UTP</v>
          </cell>
          <cell r="C378" t="str">
            <v>MG-011_3113008</v>
          </cell>
          <cell r="D378" t="str">
            <v>CARAÍ</v>
          </cell>
          <cell r="E378" t="str">
            <v>MG</v>
          </cell>
          <cell r="F378" t="str">
            <v>û</v>
          </cell>
        </row>
        <row r="379">
          <cell r="A379" t="str">
            <v>SN7E</v>
          </cell>
          <cell r="B379" t="str">
            <v>FAZENDA SÃO JERÔNIMO</v>
          </cell>
          <cell r="C379" t="str">
            <v>MT0199_5100409</v>
          </cell>
          <cell r="D379" t="str">
            <v>ALTO GARÇAS</v>
          </cell>
          <cell r="E379" t="str">
            <v>MT</v>
          </cell>
          <cell r="F379" t="str">
            <v>û</v>
          </cell>
        </row>
        <row r="380">
          <cell r="A380" t="str">
            <v>SNAL</v>
          </cell>
          <cell r="B380" t="str">
            <v>ARAPIRACA</v>
          </cell>
          <cell r="C380" t="str">
            <v>AL0003_2700300</v>
          </cell>
          <cell r="D380" t="str">
            <v>ARAPIRACA</v>
          </cell>
          <cell r="E380" t="str">
            <v>AL</v>
          </cell>
          <cell r="F380" t="str">
            <v>û</v>
          </cell>
        </row>
        <row r="381">
          <cell r="A381" t="str">
            <v>SDLE</v>
          </cell>
          <cell r="B381" t="str">
            <v>RIO DE CONTAS</v>
          </cell>
          <cell r="C381" t="str">
            <v>BA0038_2926707</v>
          </cell>
          <cell r="D381" t="str">
            <v>RIO DE CONTAS</v>
          </cell>
          <cell r="E381" t="str">
            <v>BA</v>
          </cell>
          <cell r="F381" t="str">
            <v>û</v>
          </cell>
        </row>
        <row r="382">
          <cell r="A382" t="str">
            <v>N827</v>
          </cell>
          <cell r="B382" t="str">
            <v>AEROPORTO PRÉ-PLANEJADO EM SEDE DE UTP</v>
          </cell>
          <cell r="C382" t="str">
            <v>MG-036_3161106</v>
          </cell>
          <cell r="D382" t="str">
            <v>SÃO FRANCISCO</v>
          </cell>
          <cell r="E382" t="str">
            <v>MG</v>
          </cell>
          <cell r="F382" t="str">
            <v>û</v>
          </cell>
        </row>
        <row r="383">
          <cell r="A383" t="str">
            <v>N204</v>
          </cell>
          <cell r="B383" t="str">
            <v>AEROPORTO PRÉ-PLANEJADO EM SEDE DE UTP</v>
          </cell>
          <cell r="C383" t="str">
            <v>RS-025_4317103</v>
          </cell>
          <cell r="D383" t="str">
            <v>SANT'ANA DO LIVRAMENTO</v>
          </cell>
          <cell r="E383" t="str">
            <v>RS</v>
          </cell>
          <cell r="F383" t="str">
            <v>û</v>
          </cell>
        </row>
        <row r="384">
          <cell r="A384" t="str">
            <v>SDDR</v>
          </cell>
          <cell r="B384" t="str">
            <v>DRACENA</v>
          </cell>
          <cell r="C384" t="str">
            <v>SP0021_3514403</v>
          </cell>
          <cell r="D384" t="str">
            <v>DRACENA</v>
          </cell>
          <cell r="E384" t="str">
            <v>SP</v>
          </cell>
          <cell r="F384" t="str">
            <v>û</v>
          </cell>
        </row>
        <row r="385">
          <cell r="A385" t="str">
            <v>SWPG</v>
          </cell>
          <cell r="B385" t="str">
            <v>PORTO DOS GAÚCHOS</v>
          </cell>
          <cell r="C385" t="str">
            <v>MT0010_5106802</v>
          </cell>
          <cell r="D385" t="str">
            <v>PORTO DOS GAÚCHOS</v>
          </cell>
          <cell r="E385" t="str">
            <v>MT</v>
          </cell>
          <cell r="F385" t="str">
            <v>û</v>
          </cell>
        </row>
        <row r="386">
          <cell r="A386" t="str">
            <v>N537</v>
          </cell>
          <cell r="B386" t="str">
            <v>AEROPORTO PRÉ-PLANEJADO EM SEDE DE UTP</v>
          </cell>
          <cell r="C386" t="str">
            <v>MG-006_3108602</v>
          </cell>
          <cell r="D386" t="str">
            <v>BRASÍLIA DE MINAS</v>
          </cell>
          <cell r="E386" t="str">
            <v>MG</v>
          </cell>
          <cell r="F386" t="str">
            <v>û</v>
          </cell>
        </row>
        <row r="387">
          <cell r="A387" t="str">
            <v>SJ4Y</v>
          </cell>
          <cell r="B387" t="str">
            <v>MORRINHOS</v>
          </cell>
          <cell r="C387" t="str">
            <v>GO0028_5213806</v>
          </cell>
          <cell r="D387" t="str">
            <v>MORRINHOS</v>
          </cell>
          <cell r="E387" t="str">
            <v>GO</v>
          </cell>
          <cell r="F387" t="str">
            <v>û</v>
          </cell>
        </row>
        <row r="388">
          <cell r="A388" t="str">
            <v>SWXM</v>
          </cell>
          <cell r="B388" t="str">
            <v>REGIONAL ORLANDO VILLAS BOAS</v>
          </cell>
          <cell r="C388" t="str">
            <v>MT0014_5105606</v>
          </cell>
          <cell r="D388" t="str">
            <v>MATUPÁ</v>
          </cell>
          <cell r="E388" t="str">
            <v>MT</v>
          </cell>
          <cell r="F388" t="str">
            <v>û</v>
          </cell>
        </row>
        <row r="389">
          <cell r="A389" t="str">
            <v>N811</v>
          </cell>
          <cell r="B389" t="str">
            <v>AEROPORTO PRÉ-PLANEJADO FORA DE SEDE DE UTP</v>
          </cell>
          <cell r="C389" t="str">
            <v>RS-027_4320701</v>
          </cell>
          <cell r="D389" t="str">
            <v>SOBRADINHO</v>
          </cell>
          <cell r="E389" t="str">
            <v>RS</v>
          </cell>
          <cell r="F389" t="str">
            <v>û</v>
          </cell>
        </row>
        <row r="390">
          <cell r="A390" t="str">
            <v>N812</v>
          </cell>
          <cell r="B390" t="str">
            <v>AEROPORTO PRÉ-PLANEJADO EM SEDE DE UTP</v>
          </cell>
          <cell r="C390" t="str">
            <v>PE-008_2612604</v>
          </cell>
          <cell r="D390" t="str">
            <v>SANTA MARIA DA BOA VISTA</v>
          </cell>
          <cell r="E390" t="str">
            <v>PE</v>
          </cell>
          <cell r="F390" t="str">
            <v>û</v>
          </cell>
        </row>
        <row r="391">
          <cell r="A391" t="str">
            <v>SNAX</v>
          </cell>
          <cell r="B391" t="str">
            <v>MARCELO PIRES HALZHAUSEN</v>
          </cell>
          <cell r="C391" t="str">
            <v>SP0016_3504008</v>
          </cell>
          <cell r="D391" t="str">
            <v>ASSIS</v>
          </cell>
          <cell r="E391" t="str">
            <v>SP</v>
          </cell>
          <cell r="F391" t="str">
            <v>û</v>
          </cell>
        </row>
        <row r="392">
          <cell r="A392" t="str">
            <v>N505</v>
          </cell>
          <cell r="B392" t="str">
            <v>AEROPORTO PRÉ-PLANEJADO EM SEDE DE UTP</v>
          </cell>
          <cell r="C392" t="str">
            <v>MS-002_5001003</v>
          </cell>
          <cell r="D392" t="str">
            <v>APARECIDA DO TABOADO</v>
          </cell>
          <cell r="E392" t="str">
            <v>MS</v>
          </cell>
          <cell r="F392" t="str">
            <v>û</v>
          </cell>
        </row>
        <row r="393">
          <cell r="A393" t="str">
            <v>SWBG</v>
          </cell>
          <cell r="B393" t="str">
            <v>ANDRÉ ANTÔNIO MAGGI</v>
          </cell>
          <cell r="C393" t="str">
            <v>MT0009_5106752</v>
          </cell>
          <cell r="D393" t="str">
            <v>PONTES E LACERDA</v>
          </cell>
          <cell r="E393" t="str">
            <v>MT</v>
          </cell>
          <cell r="F393" t="str">
            <v>û</v>
          </cell>
        </row>
        <row r="394">
          <cell r="A394" t="str">
            <v>N412</v>
          </cell>
          <cell r="B394" t="str">
            <v>AEROPORTO PRÉ-PLANEJADO EM SEDE DE UTP</v>
          </cell>
          <cell r="C394" t="str">
            <v>RN-007_2412203</v>
          </cell>
          <cell r="D394" t="str">
            <v>SÃO JOSÉ DE MIPIBU</v>
          </cell>
          <cell r="E394" t="str">
            <v>RN</v>
          </cell>
          <cell r="F394" t="str">
            <v>û</v>
          </cell>
        </row>
        <row r="395">
          <cell r="A395" t="str">
            <v>SSEZ</v>
          </cell>
          <cell r="B395" t="str">
            <v>ESPUMOSO</v>
          </cell>
          <cell r="C395" t="str">
            <v>RS0050_4307500</v>
          </cell>
          <cell r="D395" t="str">
            <v>ESPUMOSO</v>
          </cell>
          <cell r="E395" t="str">
            <v>RS</v>
          </cell>
          <cell r="F395" t="str">
            <v>û</v>
          </cell>
        </row>
        <row r="396">
          <cell r="A396" t="str">
            <v>N245</v>
          </cell>
          <cell r="B396" t="str">
            <v>AEROPORTO PRÉ-PLANEJADO FORA DE SEDE DE UTP</v>
          </cell>
          <cell r="C396" t="str">
            <v>RN-003_2402006</v>
          </cell>
          <cell r="D396" t="str">
            <v>CAICÓ</v>
          </cell>
          <cell r="E396" t="str">
            <v>RN</v>
          </cell>
          <cell r="F396" t="str">
            <v>û</v>
          </cell>
        </row>
        <row r="397">
          <cell r="A397" t="str">
            <v>SWGO</v>
          </cell>
          <cell r="B397" t="str">
            <v>SANTA CECÍLIA</v>
          </cell>
          <cell r="C397" t="str">
            <v>GO0123_5208608</v>
          </cell>
          <cell r="D397" t="str">
            <v>GOIANÉSIA</v>
          </cell>
          <cell r="E397" t="str">
            <v>GO</v>
          </cell>
          <cell r="F397" t="str">
            <v>û</v>
          </cell>
        </row>
        <row r="398">
          <cell r="A398" t="str">
            <v>SWNH</v>
          </cell>
          <cell r="B398" t="str">
            <v>ARUANÃ</v>
          </cell>
          <cell r="C398" t="str">
            <v>GO0017_5202502</v>
          </cell>
          <cell r="D398" t="str">
            <v>ARUANÃ</v>
          </cell>
          <cell r="E398" t="str">
            <v>GO</v>
          </cell>
          <cell r="F398" t="str">
            <v>û</v>
          </cell>
        </row>
        <row r="399">
          <cell r="A399" t="str">
            <v>SSSG</v>
          </cell>
          <cell r="B399" t="str">
            <v>SÃO GABRIEL</v>
          </cell>
          <cell r="C399" t="str">
            <v>RS0035_4318309</v>
          </cell>
          <cell r="D399" t="str">
            <v>SÃO GABRIEL</v>
          </cell>
          <cell r="E399" t="str">
            <v>RS</v>
          </cell>
          <cell r="F399" t="str">
            <v>û</v>
          </cell>
        </row>
        <row r="400">
          <cell r="A400" t="str">
            <v>SNLT</v>
          </cell>
          <cell r="B400" t="str">
            <v>PAULISTANA</v>
          </cell>
          <cell r="C400" t="str">
            <v>PI0010_2207801</v>
          </cell>
          <cell r="D400" t="str">
            <v>PAULISTANA</v>
          </cell>
          <cell r="E400" t="str">
            <v>PI</v>
          </cell>
          <cell r="F400" t="str">
            <v>û</v>
          </cell>
        </row>
        <row r="401">
          <cell r="A401" t="str">
            <v>SSKS</v>
          </cell>
          <cell r="B401" t="str">
            <v>BRIGADEIRO NERO MOURA</v>
          </cell>
          <cell r="C401" t="str">
            <v>RS0039_4303004</v>
          </cell>
          <cell r="D401" t="str">
            <v>CACHOEIRA DO SUL</v>
          </cell>
          <cell r="E401" t="str">
            <v>RS</v>
          </cell>
          <cell r="F401" t="str">
            <v>û</v>
          </cell>
        </row>
        <row r="402">
          <cell r="A402" t="str">
            <v>SSAB</v>
          </cell>
          <cell r="B402" t="str">
            <v>MOISÉS LUPION</v>
          </cell>
          <cell r="C402" t="str">
            <v>PR0024_4109708</v>
          </cell>
          <cell r="D402" t="str">
            <v>IBAITI</v>
          </cell>
          <cell r="E402" t="str">
            <v>PR</v>
          </cell>
          <cell r="F402" t="str">
            <v>û</v>
          </cell>
        </row>
        <row r="403">
          <cell r="A403" t="str">
            <v>N467</v>
          </cell>
          <cell r="B403" t="str">
            <v>AEROPORTO PRÉ-PLANEJADO FORA DE SEDE DE UTP</v>
          </cell>
          <cell r="C403" t="str">
            <v>MG-017_3137700</v>
          </cell>
          <cell r="D403" t="str">
            <v>LAJINHA</v>
          </cell>
          <cell r="E403" t="str">
            <v>MG</v>
          </cell>
          <cell r="F403" t="str">
            <v>û</v>
          </cell>
        </row>
        <row r="404">
          <cell r="A404" t="str">
            <v>SSLO</v>
          </cell>
          <cell r="B404" t="str">
            <v>ATTILLIO ACCORSI</v>
          </cell>
          <cell r="C404" t="str">
            <v>PR0031_4113502</v>
          </cell>
          <cell r="D404" t="str">
            <v>LOANDA</v>
          </cell>
          <cell r="E404" t="str">
            <v>PR</v>
          </cell>
          <cell r="F404" t="str">
            <v>û</v>
          </cell>
        </row>
        <row r="405">
          <cell r="A405" t="str">
            <v>N377</v>
          </cell>
          <cell r="B405" t="str">
            <v>AEROPORTO PRÉ-PLANEJADO FORA DE SEDE DE UTP</v>
          </cell>
          <cell r="C405" t="str">
            <v>BA-024_2925105</v>
          </cell>
          <cell r="D405" t="str">
            <v>POÇÕES</v>
          </cell>
          <cell r="E405" t="str">
            <v>BA</v>
          </cell>
          <cell r="F405" t="str">
            <v>û</v>
          </cell>
        </row>
        <row r="406">
          <cell r="A406" t="str">
            <v>N434</v>
          </cell>
          <cell r="B406" t="str">
            <v>AEROPORTO PRÉ-PLANEJADO EM SEDE DE UTP</v>
          </cell>
          <cell r="C406" t="str">
            <v>PB-010_2516003</v>
          </cell>
          <cell r="D406" t="str">
            <v>SOLÂNEA</v>
          </cell>
          <cell r="E406" t="str">
            <v>PB</v>
          </cell>
          <cell r="F406" t="str">
            <v>û</v>
          </cell>
        </row>
        <row r="407">
          <cell r="A407" t="str">
            <v>SJLH</v>
          </cell>
          <cell r="B407" t="str">
            <v>JACAMIM</v>
          </cell>
          <cell r="C407" t="str">
            <v>RR0050_1400159</v>
          </cell>
          <cell r="D407" t="str">
            <v>BONFIM</v>
          </cell>
          <cell r="E407" t="str">
            <v>RR</v>
          </cell>
          <cell r="F407" t="str">
            <v>û</v>
          </cell>
        </row>
        <row r="408">
          <cell r="A408" t="str">
            <v>SWHT</v>
          </cell>
          <cell r="B408" t="str">
            <v>HUMAITÁ</v>
          </cell>
          <cell r="C408" t="str">
            <v>AM0019_1301704</v>
          </cell>
          <cell r="D408" t="str">
            <v>HUMAITÁ</v>
          </cell>
          <cell r="E408" t="str">
            <v>AM</v>
          </cell>
          <cell r="F408" t="str">
            <v>û</v>
          </cell>
        </row>
        <row r="409">
          <cell r="A409" t="str">
            <v>N283</v>
          </cell>
          <cell r="B409" t="str">
            <v>AEROPORTO PRÉ-PLANEJADO EM SEDE DE UTP</v>
          </cell>
          <cell r="C409" t="str">
            <v>GO-011_5213004</v>
          </cell>
          <cell r="D409" t="str">
            <v>MAURILÂNDIA</v>
          </cell>
          <cell r="E409" t="str">
            <v>GO</v>
          </cell>
          <cell r="F409" t="str">
            <v>û</v>
          </cell>
        </row>
        <row r="410">
          <cell r="A410" t="str">
            <v>SDTI</v>
          </cell>
          <cell r="B410" t="str">
            <v>TUPI PAULISTA</v>
          </cell>
          <cell r="C410" t="str">
            <v>SP0073_3555109</v>
          </cell>
          <cell r="D410" t="str">
            <v>TUPI PAULISTA</v>
          </cell>
          <cell r="E410" t="str">
            <v>SP</v>
          </cell>
          <cell r="F410" t="str">
            <v>û</v>
          </cell>
        </row>
        <row r="411">
          <cell r="A411" t="str">
            <v>N913</v>
          </cell>
          <cell r="B411" t="str">
            <v>AEROPORTO PRÉ-PLANEJADO EM SEDE DE UTP</v>
          </cell>
          <cell r="C411" t="str">
            <v>GO-006_5206206</v>
          </cell>
          <cell r="D411" t="str">
            <v>CRISTALINA</v>
          </cell>
          <cell r="E411" t="str">
            <v>GO</v>
          </cell>
          <cell r="F411" t="str">
            <v>û</v>
          </cell>
        </row>
        <row r="412">
          <cell r="A412" t="str">
            <v>SWUJ</v>
          </cell>
          <cell r="B412" t="str">
            <v>SÃO GOTARDO</v>
          </cell>
          <cell r="C412" t="str">
            <v>MG0204_3162104</v>
          </cell>
          <cell r="D412" t="str">
            <v>SÃO GOTARDO</v>
          </cell>
          <cell r="E412" t="str">
            <v>MG</v>
          </cell>
          <cell r="F412" t="str">
            <v>û</v>
          </cell>
        </row>
        <row r="413">
          <cell r="A413" t="str">
            <v>SNPX</v>
          </cell>
          <cell r="B413" t="str">
            <v>PIRAPORA</v>
          </cell>
          <cell r="C413" t="str">
            <v>MG0028_3151206</v>
          </cell>
          <cell r="D413" t="str">
            <v>PIRAPORA</v>
          </cell>
          <cell r="E413" t="str">
            <v>MG</v>
          </cell>
          <cell r="F413" t="str">
            <v>û</v>
          </cell>
        </row>
        <row r="414">
          <cell r="A414" t="str">
            <v>SN2C</v>
          </cell>
          <cell r="B414" t="str">
            <v>MORRO DO CHAPÉU</v>
          </cell>
          <cell r="C414" t="str">
            <v>BA0059_2921708</v>
          </cell>
          <cell r="D414" t="str">
            <v>MORRO DO CHAPÉU</v>
          </cell>
          <cell r="E414" t="str">
            <v>BA</v>
          </cell>
          <cell r="F414" t="str">
            <v>û</v>
          </cell>
        </row>
        <row r="415">
          <cell r="A415" t="str">
            <v>N495</v>
          </cell>
          <cell r="B415" t="str">
            <v>AEROPORTO PRÉ-PLANEJADO EM SEDE DE UTP</v>
          </cell>
          <cell r="C415" t="str">
            <v>MG-027_3148707</v>
          </cell>
          <cell r="D415" t="str">
            <v>PEDRA AZUL</v>
          </cell>
          <cell r="E415" t="str">
            <v>MG</v>
          </cell>
          <cell r="F415" t="str">
            <v>û</v>
          </cell>
        </row>
        <row r="416">
          <cell r="A416" t="str">
            <v>SWPR</v>
          </cell>
          <cell r="B416" t="str">
            <v>PIRES DO RIO</v>
          </cell>
          <cell r="C416" t="str">
            <v>GO0029_5217401</v>
          </cell>
          <cell r="D416" t="str">
            <v>PIRES DO RIO</v>
          </cell>
          <cell r="E416" t="str">
            <v>GO</v>
          </cell>
          <cell r="F416" t="str">
            <v>û</v>
          </cell>
        </row>
        <row r="417">
          <cell r="A417" t="str">
            <v>N539</v>
          </cell>
          <cell r="B417" t="str">
            <v>AEROPORTO PRÉ-PLANEJADO EM SEDE DE UTP</v>
          </cell>
          <cell r="C417" t="str">
            <v>MA-003_2102101</v>
          </cell>
          <cell r="D417" t="str">
            <v>BREJO</v>
          </cell>
          <cell r="E417" t="str">
            <v>MA</v>
          </cell>
          <cell r="F417" t="str">
            <v>û</v>
          </cell>
        </row>
        <row r="418">
          <cell r="A418" t="str">
            <v>SSKZ</v>
          </cell>
          <cell r="B418" t="str">
            <v>CARAZINHO</v>
          </cell>
          <cell r="C418" t="str">
            <v>RS0009_4304705</v>
          </cell>
          <cell r="D418" t="str">
            <v>CARAZINHO</v>
          </cell>
          <cell r="E418" t="str">
            <v>RS</v>
          </cell>
          <cell r="F418" t="str">
            <v>û</v>
          </cell>
        </row>
        <row r="419">
          <cell r="A419" t="str">
            <v>N921</v>
          </cell>
          <cell r="B419" t="str">
            <v>AEROPORTO PRÉ-PLANEJADO FORA DE SEDE DE UTP</v>
          </cell>
          <cell r="C419" t="str">
            <v>PR-010_4121604</v>
          </cell>
          <cell r="D419" t="str">
            <v>RENASCENÇA</v>
          </cell>
          <cell r="E419" t="str">
            <v>PR</v>
          </cell>
          <cell r="F419" t="str">
            <v>û</v>
          </cell>
        </row>
        <row r="420">
          <cell r="A420" t="str">
            <v>SSCL</v>
          </cell>
          <cell r="B420" t="str">
            <v>CASSILÂNDIA</v>
          </cell>
          <cell r="C420" t="str">
            <v>MS0018_5002902</v>
          </cell>
          <cell r="D420" t="str">
            <v>CASSILÂNDIA</v>
          </cell>
          <cell r="E420" t="str">
            <v>MS</v>
          </cell>
          <cell r="F420" t="str">
            <v>û</v>
          </cell>
        </row>
        <row r="421">
          <cell r="A421" t="str">
            <v>SSYR</v>
          </cell>
          <cell r="B421" t="str">
            <v>JOSÉ MENDES RIBEIRO</v>
          </cell>
          <cell r="C421" t="str">
            <v>MA0049_2111102</v>
          </cell>
          <cell r="D421" t="str">
            <v>SÃO JOÃO DOS PATOS</v>
          </cell>
          <cell r="E421" t="str">
            <v>MA</v>
          </cell>
          <cell r="F421" t="str">
            <v>û</v>
          </cell>
        </row>
        <row r="422">
          <cell r="A422" t="str">
            <v>SNIU</v>
          </cell>
          <cell r="B422" t="str">
            <v>IPIAÚ</v>
          </cell>
          <cell r="C422" t="str">
            <v>BA0030_2913903</v>
          </cell>
          <cell r="D422" t="str">
            <v>IPIAÚ</v>
          </cell>
          <cell r="E422" t="str">
            <v>BA</v>
          </cell>
          <cell r="F422" t="str">
            <v>û</v>
          </cell>
        </row>
        <row r="423">
          <cell r="A423" t="str">
            <v>N205</v>
          </cell>
          <cell r="B423" t="str">
            <v>AEROPORTO PRÉ-PLANEJADO EM SEDE DE UTP</v>
          </cell>
          <cell r="C423" t="str">
            <v>PR-011_4124400</v>
          </cell>
          <cell r="D423" t="str">
            <v>SANTO ANTÔNIO DO SUDOESTE</v>
          </cell>
          <cell r="E423" t="str">
            <v>PR</v>
          </cell>
          <cell r="F423" t="str">
            <v>û</v>
          </cell>
        </row>
        <row r="424">
          <cell r="A424" t="str">
            <v>SNKN</v>
          </cell>
          <cell r="B424" t="str">
            <v>CURRAIS NOVOS</v>
          </cell>
          <cell r="C424" t="str">
            <v>RN0004_2403103</v>
          </cell>
          <cell r="D424" t="str">
            <v>CURRAIS NOVOS</v>
          </cell>
          <cell r="E424" t="str">
            <v>RN</v>
          </cell>
          <cell r="F424" t="str">
            <v>û</v>
          </cell>
        </row>
        <row r="425">
          <cell r="A425" t="str">
            <v>SSGO</v>
          </cell>
          <cell r="B425" t="str">
            <v>ROSADA</v>
          </cell>
          <cell r="C425" t="str">
            <v>MS0277_5007695</v>
          </cell>
          <cell r="D425" t="str">
            <v>SÃO GABRIEL DO OESTE</v>
          </cell>
          <cell r="E425" t="str">
            <v>MS</v>
          </cell>
          <cell r="F425" t="str">
            <v>û</v>
          </cell>
        </row>
        <row r="426">
          <cell r="A426" t="str">
            <v>N584</v>
          </cell>
          <cell r="B426" t="str">
            <v>AEROPORTO PRÉ-PLANEJADO EM SEDE DE UTP</v>
          </cell>
          <cell r="C426" t="str">
            <v>RO-003_1100056</v>
          </cell>
          <cell r="D426" t="str">
            <v>CEREJEIRAS</v>
          </cell>
          <cell r="E426" t="str">
            <v>RO</v>
          </cell>
          <cell r="F426" t="str">
            <v>û</v>
          </cell>
        </row>
        <row r="427">
          <cell r="A427" t="str">
            <v>N543</v>
          </cell>
          <cell r="B427" t="str">
            <v>AEROPORTO PRÉ-PLANEJADO EM SEDE DE UTP</v>
          </cell>
          <cell r="C427" t="str">
            <v>MG-042_3171600</v>
          </cell>
          <cell r="D427" t="str">
            <v>VIRGEM DA LAPA</v>
          </cell>
          <cell r="E427" t="str">
            <v>MG</v>
          </cell>
          <cell r="F427" t="str">
            <v>û</v>
          </cell>
        </row>
        <row r="428">
          <cell r="A428" t="str">
            <v>SWBV</v>
          </cell>
          <cell r="B428" t="str">
            <v>AUARIS</v>
          </cell>
          <cell r="C428" t="str">
            <v>RR0108_1400027</v>
          </cell>
          <cell r="D428" t="str">
            <v>AMAJARI</v>
          </cell>
          <cell r="E428" t="str">
            <v>RR</v>
          </cell>
          <cell r="F428" t="str">
            <v>û</v>
          </cell>
        </row>
        <row r="429">
          <cell r="A429" t="str">
            <v>N429</v>
          </cell>
          <cell r="B429" t="str">
            <v>AEROPORTO PRÉ-PLANEJADO FORA DE SEDE DE UTP</v>
          </cell>
          <cell r="C429" t="str">
            <v>PE-001_2600104</v>
          </cell>
          <cell r="D429" t="str">
            <v>AFOGADOS DA INGAZEIRA</v>
          </cell>
          <cell r="E429" t="str">
            <v>PE</v>
          </cell>
          <cell r="F429" t="str">
            <v>û</v>
          </cell>
        </row>
        <row r="430">
          <cell r="A430" t="str">
            <v>SNTR</v>
          </cell>
          <cell r="B430" t="str">
            <v>PIRITIBA</v>
          </cell>
          <cell r="C430" t="str">
            <v>BA0036_2924801</v>
          </cell>
          <cell r="D430" t="str">
            <v>PIRITIBA</v>
          </cell>
          <cell r="E430" t="str">
            <v>BA</v>
          </cell>
          <cell r="F430" t="str">
            <v>û</v>
          </cell>
        </row>
        <row r="431">
          <cell r="A431" t="str">
            <v>SNSG</v>
          </cell>
          <cell r="B431" t="str">
            <v>SALGUEIRO</v>
          </cell>
          <cell r="C431" t="str">
            <v>PE0008_2612208</v>
          </cell>
          <cell r="D431" t="str">
            <v>SALGUEIRO</v>
          </cell>
          <cell r="E431" t="str">
            <v>PE</v>
          </cell>
          <cell r="F431" t="str">
            <v>û</v>
          </cell>
        </row>
        <row r="432">
          <cell r="A432" t="str">
            <v>SNMR</v>
          </cell>
          <cell r="B432" t="str">
            <v>MARAÚ</v>
          </cell>
          <cell r="C432" t="str">
            <v>BA0065_2920700</v>
          </cell>
          <cell r="D432" t="str">
            <v>MARAÚ</v>
          </cell>
          <cell r="E432" t="str">
            <v>BA</v>
          </cell>
          <cell r="F432" t="str">
            <v>û</v>
          </cell>
        </row>
        <row r="433">
          <cell r="A433" t="str">
            <v>SSEP</v>
          </cell>
          <cell r="B433" t="str">
            <v>SÃO SEPÉ</v>
          </cell>
          <cell r="C433" t="str">
            <v>RS0031_4319604</v>
          </cell>
          <cell r="D433" t="str">
            <v>SÃO SEPÉ</v>
          </cell>
          <cell r="E433" t="str">
            <v>RS</v>
          </cell>
          <cell r="F433" t="str">
            <v>û</v>
          </cell>
        </row>
        <row r="434">
          <cell r="A434" t="str">
            <v>N284</v>
          </cell>
          <cell r="B434" t="str">
            <v>AEROPORTO PRÉ-PLANEJADO EM SEDE DE UTP</v>
          </cell>
          <cell r="C434" t="str">
            <v>RJ-013_3302809</v>
          </cell>
          <cell r="D434" t="str">
            <v>MENDES</v>
          </cell>
          <cell r="E434" t="str">
            <v>RJ</v>
          </cell>
          <cell r="F434" t="str">
            <v>û</v>
          </cell>
        </row>
        <row r="435">
          <cell r="A435" t="str">
            <v>SNMI</v>
          </cell>
          <cell r="B435" t="str">
            <v>MINA CARAÍBA</v>
          </cell>
          <cell r="C435" t="str">
            <v>BA0141_2917706</v>
          </cell>
          <cell r="D435" t="str">
            <v>JAGUARARI</v>
          </cell>
          <cell r="E435" t="str">
            <v>BA</v>
          </cell>
          <cell r="F435" t="str">
            <v>û</v>
          </cell>
        </row>
        <row r="436">
          <cell r="A436" t="str">
            <v>SDTK</v>
          </cell>
          <cell r="B436" t="str">
            <v>PARATY</v>
          </cell>
          <cell r="C436" t="str">
            <v>RJ0011_3303807</v>
          </cell>
          <cell r="D436" t="str">
            <v>PARATY</v>
          </cell>
          <cell r="E436" t="str">
            <v>RJ</v>
          </cell>
          <cell r="F436" t="str">
            <v>û</v>
          </cell>
        </row>
        <row r="437">
          <cell r="A437" t="str">
            <v>SWBE</v>
          </cell>
          <cell r="B437" t="str">
            <v>WALFRIDO SALMITO DE ALMEIDA</v>
          </cell>
          <cell r="C437" t="str">
            <v>CE0006_2312304</v>
          </cell>
          <cell r="D437" t="str">
            <v>SÃO BENEDITO</v>
          </cell>
          <cell r="E437" t="str">
            <v>CE</v>
          </cell>
          <cell r="F437" t="str">
            <v>û</v>
          </cell>
        </row>
        <row r="438">
          <cell r="A438" t="str">
            <v>N765</v>
          </cell>
          <cell r="B438" t="str">
            <v>AEROPORTO PRÉ-PLANEJADO EM SEDE DE UTP</v>
          </cell>
          <cell r="C438" t="str">
            <v>GO-013_5217104</v>
          </cell>
          <cell r="D438" t="str">
            <v>PIRACANJUBA</v>
          </cell>
          <cell r="E438" t="str">
            <v>GO</v>
          </cell>
          <cell r="F438" t="str">
            <v>û</v>
          </cell>
        </row>
        <row r="439">
          <cell r="A439" t="str">
            <v>SNMJ</v>
          </cell>
          <cell r="B439" t="str">
            <v>MARACÁS</v>
          </cell>
          <cell r="C439" t="str">
            <v>BA0031_2920502</v>
          </cell>
          <cell r="D439" t="str">
            <v>MARACÁS</v>
          </cell>
          <cell r="E439" t="str">
            <v>BA</v>
          </cell>
          <cell r="F439" t="str">
            <v>û</v>
          </cell>
        </row>
        <row r="440">
          <cell r="A440" t="str">
            <v>SJQN</v>
          </cell>
          <cell r="B440" t="str">
            <v>QUIRINÓPOLIS</v>
          </cell>
          <cell r="C440" t="str">
            <v>GO0006_5218508</v>
          </cell>
          <cell r="D440" t="str">
            <v>QUIRINÓPOLIS</v>
          </cell>
          <cell r="E440" t="str">
            <v>GO</v>
          </cell>
          <cell r="F440" t="str">
            <v>û</v>
          </cell>
        </row>
        <row r="441">
          <cell r="A441" t="str">
            <v>SNCW</v>
          </cell>
          <cell r="B441" t="str">
            <v>CENTRO DE LANÇAMENTO DE ALCÂNTARA</v>
          </cell>
          <cell r="C441" t="str">
            <v>MA9001_2100204</v>
          </cell>
          <cell r="D441" t="str">
            <v>ALCÂNTARA</v>
          </cell>
          <cell r="E441" t="str">
            <v>MA</v>
          </cell>
          <cell r="F441" t="str">
            <v>û</v>
          </cell>
        </row>
        <row r="442">
          <cell r="A442" t="str">
            <v>N586</v>
          </cell>
          <cell r="B442" t="str">
            <v>AEROPORTO PRÉ-PLANEJADO EM SEDE DE UTP</v>
          </cell>
          <cell r="C442" t="str">
            <v>GO-005_5205471</v>
          </cell>
          <cell r="D442" t="str">
            <v>CHAPADÃO DO CÉU</v>
          </cell>
          <cell r="E442" t="str">
            <v>GO</v>
          </cell>
          <cell r="F442" t="str">
            <v>û</v>
          </cell>
        </row>
        <row r="443">
          <cell r="A443" t="str">
            <v>N250</v>
          </cell>
          <cell r="B443" t="str">
            <v>AEROPORTO PRÉ-PLANEJADO EM SEDE DE UTP</v>
          </cell>
          <cell r="C443" t="str">
            <v>RS-015_4311304</v>
          </cell>
          <cell r="D443" t="str">
            <v>LAGOA VERMELHA</v>
          </cell>
          <cell r="E443" t="str">
            <v>RS</v>
          </cell>
          <cell r="F443" t="str">
            <v>û</v>
          </cell>
        </row>
        <row r="444">
          <cell r="A444" t="str">
            <v>N362</v>
          </cell>
          <cell r="B444" t="str">
            <v>AEROPORTO PRÉ-PLANEJADO EM SEDE DE UTP</v>
          </cell>
          <cell r="C444" t="str">
            <v>SE-002_2805703</v>
          </cell>
          <cell r="D444" t="str">
            <v>PROPRIÁ</v>
          </cell>
          <cell r="E444" t="str">
            <v>SE</v>
          </cell>
          <cell r="F444" t="str">
            <v>û</v>
          </cell>
        </row>
        <row r="445">
          <cell r="A445" t="str">
            <v>N300</v>
          </cell>
          <cell r="B445" t="str">
            <v>AEROPORTO PRÉ-PLANEJADO EM SEDE DE UTP</v>
          </cell>
          <cell r="C445" t="str">
            <v>SC-012_4211751</v>
          </cell>
          <cell r="D445" t="str">
            <v>OTACÍLIO COSTA</v>
          </cell>
          <cell r="E445" t="str">
            <v>SC</v>
          </cell>
          <cell r="F445" t="str">
            <v>û</v>
          </cell>
        </row>
        <row r="446">
          <cell r="A446" t="str">
            <v>N167</v>
          </cell>
          <cell r="B446" t="str">
            <v>AEROPORTO PRÉ-PLANEJADO EM SEDE DE UTP</v>
          </cell>
          <cell r="C446" t="str">
            <v>PB-004_2506301</v>
          </cell>
          <cell r="D446" t="str">
            <v>GUARABIRA</v>
          </cell>
          <cell r="E446" t="str">
            <v>PB</v>
          </cell>
          <cell r="F446" t="str">
            <v>û</v>
          </cell>
        </row>
        <row r="447">
          <cell r="A447" t="str">
            <v>N158</v>
          </cell>
          <cell r="B447" t="str">
            <v>AEROPORTO PRÉ-PLANEJADO FORA DE SEDE DE UTP</v>
          </cell>
          <cell r="C447" t="str">
            <v>SP-025_3549508</v>
          </cell>
          <cell r="D447" t="str">
            <v>SÃO JOSÉ DA BELA VISTA</v>
          </cell>
          <cell r="E447" t="str">
            <v>SP</v>
          </cell>
          <cell r="F447" t="str">
            <v>û</v>
          </cell>
        </row>
        <row r="448">
          <cell r="A448" t="str">
            <v>SJBY</v>
          </cell>
          <cell r="B448" t="str">
            <v>JOÃO SILVA</v>
          </cell>
          <cell r="C448" t="str">
            <v>MA0007_2109908</v>
          </cell>
          <cell r="D448" t="str">
            <v>SANTA INÊS</v>
          </cell>
          <cell r="E448" t="str">
            <v>MA</v>
          </cell>
          <cell r="F448" t="str">
            <v>û</v>
          </cell>
        </row>
        <row r="449">
          <cell r="A449" t="str">
            <v>N906</v>
          </cell>
          <cell r="B449" t="str">
            <v>AEROPORTO PRÉ-PLANEJADO FORA DE SEDE DE UTP</v>
          </cell>
          <cell r="C449" t="str">
            <v>GO-003_5203906</v>
          </cell>
          <cell r="D449" t="str">
            <v>BURITI ALEGRE</v>
          </cell>
          <cell r="E449" t="str">
            <v>GO</v>
          </cell>
          <cell r="F449" t="str">
            <v>û</v>
          </cell>
        </row>
        <row r="450">
          <cell r="A450" t="str">
            <v>SSPL</v>
          </cell>
          <cell r="B450" t="str">
            <v>PALMEIRA DAS MISSÕES</v>
          </cell>
          <cell r="C450" t="str">
            <v>RS0043_4313706</v>
          </cell>
          <cell r="D450" t="str">
            <v>PALMEIRA DAS MISSÕES</v>
          </cell>
          <cell r="E450" t="str">
            <v>RS</v>
          </cell>
          <cell r="F450" t="str">
            <v>û</v>
          </cell>
        </row>
        <row r="451">
          <cell r="A451" t="str">
            <v>SBCD</v>
          </cell>
          <cell r="B451" t="str">
            <v>PREFEITO DR. CARLOS ALBERTO DA COSTA NEVES</v>
          </cell>
          <cell r="C451" t="str">
            <v>SC0006_4203006</v>
          </cell>
          <cell r="D451" t="str">
            <v>CAÇADOR</v>
          </cell>
          <cell r="E451" t="str">
            <v>SC</v>
          </cell>
          <cell r="F451" t="str">
            <v>û</v>
          </cell>
        </row>
        <row r="452">
          <cell r="A452" t="str">
            <v>N272</v>
          </cell>
          <cell r="B452" t="str">
            <v>AEROPORTO PRÉ-PLANEJADO EM SEDE DE UTP</v>
          </cell>
          <cell r="C452" t="str">
            <v>PE-003_2601607</v>
          </cell>
          <cell r="D452" t="str">
            <v>BELÉM DO SÃO FRANCISCO</v>
          </cell>
          <cell r="E452" t="str">
            <v>PE</v>
          </cell>
          <cell r="F452" t="str">
            <v>û</v>
          </cell>
        </row>
        <row r="453">
          <cell r="A453" t="str">
            <v>N334</v>
          </cell>
          <cell r="B453" t="str">
            <v>AEROPORTO PRÉ-PLANEJADO EM SEDE DE UTP</v>
          </cell>
          <cell r="C453" t="str">
            <v>BA-013_2910404</v>
          </cell>
          <cell r="D453" t="str">
            <v>ENCRUZILHADA</v>
          </cell>
          <cell r="E453" t="str">
            <v>BA</v>
          </cell>
          <cell r="F453" t="str">
            <v>û</v>
          </cell>
        </row>
        <row r="454">
          <cell r="A454" t="str">
            <v>N190</v>
          </cell>
          <cell r="B454" t="str">
            <v>AEROPORTO PRÉ-PLANEJADO EM SEDE DE UTP</v>
          </cell>
          <cell r="C454" t="str">
            <v>PI-003_2202208</v>
          </cell>
          <cell r="D454" t="str">
            <v>CAMPO MAIOR</v>
          </cell>
          <cell r="E454" t="str">
            <v>PI</v>
          </cell>
          <cell r="F454" t="str">
            <v>û</v>
          </cell>
        </row>
        <row r="455">
          <cell r="A455" t="str">
            <v>SNPJ</v>
          </cell>
          <cell r="B455" t="str">
            <v>PATROCÍNIO</v>
          </cell>
          <cell r="C455" t="str">
            <v>MG0042_3148103</v>
          </cell>
          <cell r="D455" t="str">
            <v>PATROCÍNIO</v>
          </cell>
          <cell r="E455" t="str">
            <v>MG</v>
          </cell>
          <cell r="F455" t="str">
            <v>û</v>
          </cell>
        </row>
        <row r="456">
          <cell r="A456" t="str">
            <v>SSKU</v>
          </cell>
          <cell r="B456" t="str">
            <v>LAURO ANTÔNIO DA COSTA</v>
          </cell>
          <cell r="C456" t="str">
            <v>SC0016_4204806</v>
          </cell>
          <cell r="D456" t="str">
            <v>CURITIBANOS</v>
          </cell>
          <cell r="E456" t="str">
            <v>SC</v>
          </cell>
          <cell r="F456" t="str">
            <v>û</v>
          </cell>
        </row>
        <row r="457">
          <cell r="A457" t="str">
            <v>N071</v>
          </cell>
          <cell r="B457" t="str">
            <v>AEROPORTO PRÉ-PLANEJADO FORA DE SEDE DE UTP</v>
          </cell>
          <cell r="C457" t="str">
            <v>RR-001_1400027</v>
          </cell>
          <cell r="D457" t="str">
            <v>AMAJARI</v>
          </cell>
          <cell r="E457" t="str">
            <v>RR</v>
          </cell>
          <cell r="F457" t="str">
            <v>û</v>
          </cell>
        </row>
        <row r="458">
          <cell r="A458" t="str">
            <v>SNFU</v>
          </cell>
          <cell r="B458" t="str">
            <v>FRUTAL</v>
          </cell>
          <cell r="C458" t="str">
            <v>MG0063_3127107</v>
          </cell>
          <cell r="D458" t="str">
            <v>FRUTAL</v>
          </cell>
          <cell r="E458" t="str">
            <v>MG</v>
          </cell>
          <cell r="F458" t="str">
            <v>û</v>
          </cell>
        </row>
        <row r="459">
          <cell r="A459" t="str">
            <v>N392</v>
          </cell>
          <cell r="B459" t="str">
            <v>AEROPORTO PRÉ-PLANEJADO FORA DE SEDE DE UTP</v>
          </cell>
          <cell r="C459" t="str">
            <v>BA-026_2928208</v>
          </cell>
          <cell r="D459" t="str">
            <v>SANTANA</v>
          </cell>
          <cell r="E459" t="str">
            <v>BA</v>
          </cell>
          <cell r="F459" t="str">
            <v>û</v>
          </cell>
        </row>
        <row r="460">
          <cell r="A460" t="str">
            <v>SSRZ</v>
          </cell>
          <cell r="B460" t="str">
            <v>DÁRIO BRASIL CAPOANO DE OLIVEIRA</v>
          </cell>
          <cell r="C460" t="str">
            <v>RS0024_4316402</v>
          </cell>
          <cell r="D460" t="str">
            <v>ROSÁRIO DO SUL</v>
          </cell>
          <cell r="E460" t="str">
            <v>RS</v>
          </cell>
          <cell r="F460" t="str">
            <v>û</v>
          </cell>
        </row>
        <row r="461">
          <cell r="A461" t="str">
            <v>SNKD</v>
          </cell>
          <cell r="B461" t="str">
            <v>CONCEIÇÃO DO MATO DENTRO</v>
          </cell>
          <cell r="C461" t="str">
            <v>MG0070_3117504</v>
          </cell>
          <cell r="D461" t="str">
            <v>CONCEIÇÃO DO MATO DENTRO</v>
          </cell>
          <cell r="E461" t="str">
            <v>MG</v>
          </cell>
          <cell r="F461" t="str">
            <v>û</v>
          </cell>
        </row>
        <row r="462">
          <cell r="A462" t="str">
            <v>N359</v>
          </cell>
          <cell r="B462" t="str">
            <v>AEROPORTO PRÉ-PLANEJADO EM SEDE DE UTP</v>
          </cell>
          <cell r="C462" t="str">
            <v>MA-018_2109205</v>
          </cell>
          <cell r="D462" t="str">
            <v>PRESIDENTE JUSCELINO</v>
          </cell>
          <cell r="E462" t="str">
            <v>MA</v>
          </cell>
          <cell r="F462" t="str">
            <v>û</v>
          </cell>
        </row>
        <row r="463">
          <cell r="A463" t="str">
            <v>SWKT</v>
          </cell>
          <cell r="B463" t="str">
            <v>CATALÃO</v>
          </cell>
          <cell r="C463" t="str">
            <v>GO0015_5205109</v>
          </cell>
          <cell r="D463" t="str">
            <v>CATALÃO</v>
          </cell>
          <cell r="E463" t="str">
            <v>GO</v>
          </cell>
          <cell r="F463" t="str">
            <v>û</v>
          </cell>
        </row>
        <row r="464">
          <cell r="A464" t="str">
            <v>N746</v>
          </cell>
          <cell r="B464" t="str">
            <v>AEROPORTO PRÉ-PLANEJADO EM SEDE DE UTP</v>
          </cell>
          <cell r="C464" t="str">
            <v>RR-003_1400456</v>
          </cell>
          <cell r="D464" t="str">
            <v>PACARAIMA</v>
          </cell>
          <cell r="E464" t="str">
            <v>RR</v>
          </cell>
          <cell r="F464" t="str">
            <v>û</v>
          </cell>
        </row>
        <row r="465">
          <cell r="A465" t="str">
            <v>N874</v>
          </cell>
          <cell r="B465" t="str">
            <v>AEROPORTO PRÉ-PLANEJADO EM SEDE DE UTP</v>
          </cell>
          <cell r="C465" t="str">
            <v>MT-010_5105507</v>
          </cell>
          <cell r="D465" t="str">
            <v>VILA BELA DA SANTÍSSIMA TRINDADE</v>
          </cell>
          <cell r="E465" t="str">
            <v>MT</v>
          </cell>
          <cell r="F465" t="str">
            <v>û</v>
          </cell>
        </row>
        <row r="466">
          <cell r="A466" t="str">
            <v>SSWS</v>
          </cell>
          <cell r="B466" t="str">
            <v>CAÇAPAVA DO SUL</v>
          </cell>
          <cell r="C466" t="str">
            <v>RS0025_4302808</v>
          </cell>
          <cell r="D466" t="str">
            <v>CAÇAPAVA DO SUL</v>
          </cell>
          <cell r="E466" t="str">
            <v>RS</v>
          </cell>
          <cell r="F466" t="str">
            <v>û</v>
          </cell>
        </row>
        <row r="467">
          <cell r="A467" t="str">
            <v>N807</v>
          </cell>
          <cell r="B467" t="str">
            <v>AEROPORTO PRÉ-PLANEJADO EM SEDE DE UTP</v>
          </cell>
          <cell r="C467" t="str">
            <v>RS-022_4316451</v>
          </cell>
          <cell r="D467" t="str">
            <v>SALTO DO JACUÍ</v>
          </cell>
          <cell r="E467" t="str">
            <v>RS</v>
          </cell>
          <cell r="F467" t="str">
            <v>û</v>
          </cell>
        </row>
        <row r="468">
          <cell r="A468" t="str">
            <v>N082</v>
          </cell>
          <cell r="B468" t="str">
            <v>AEROPORTO PRÉ-PLANEJADO EM SEDE DE UTP</v>
          </cell>
          <cell r="C468" t="str">
            <v>BA-004_2904308</v>
          </cell>
          <cell r="D468" t="str">
            <v>BREJÕES</v>
          </cell>
          <cell r="E468" t="str">
            <v>BA</v>
          </cell>
          <cell r="F468" t="str">
            <v>û</v>
          </cell>
        </row>
        <row r="469">
          <cell r="A469" t="str">
            <v>N873</v>
          </cell>
          <cell r="B469" t="str">
            <v>AEROPORTO PRÉ-PLANEJADO EM SEDE DE UTP</v>
          </cell>
          <cell r="C469" t="str">
            <v>MT-009_5105507</v>
          </cell>
          <cell r="D469" t="str">
            <v>VILA BELA DA SANTÍSSIMA TRINDADE</v>
          </cell>
          <cell r="E469" t="str">
            <v>MT</v>
          </cell>
          <cell r="F469" t="str">
            <v>û</v>
          </cell>
        </row>
        <row r="470">
          <cell r="A470" t="str">
            <v>SSVI</v>
          </cell>
          <cell r="B470" t="str">
            <v>ÂNGELO PONZONI</v>
          </cell>
          <cell r="C470" t="str">
            <v>SC0011_4219309</v>
          </cell>
          <cell r="D470" t="str">
            <v>VIDEIRA</v>
          </cell>
          <cell r="E470" t="str">
            <v>SC</v>
          </cell>
          <cell r="F470" t="str">
            <v>û</v>
          </cell>
        </row>
        <row r="471">
          <cell r="A471" t="str">
            <v>SDK7</v>
          </cell>
          <cell r="B471" t="str">
            <v>NOVA ANDRADINA</v>
          </cell>
          <cell r="C471" t="str">
            <v>MS0563_5006200</v>
          </cell>
          <cell r="D471" t="str">
            <v>NOVA ANDRADINA</v>
          </cell>
          <cell r="E471" t="str">
            <v>MS</v>
          </cell>
          <cell r="F471" t="str">
            <v>û</v>
          </cell>
        </row>
        <row r="472">
          <cell r="A472" t="str">
            <v>SNPI</v>
          </cell>
          <cell r="B472" t="str">
            <v>DE PIATÃ</v>
          </cell>
          <cell r="C472" t="str">
            <v>BA0021_2924306</v>
          </cell>
          <cell r="D472" t="str">
            <v>PIATÃ</v>
          </cell>
          <cell r="E472" t="str">
            <v>BA</v>
          </cell>
          <cell r="F472" t="str">
            <v>û</v>
          </cell>
        </row>
        <row r="473">
          <cell r="A473" t="str">
            <v>SSMT</v>
          </cell>
          <cell r="B473" t="str">
            <v>MOSTARDAS</v>
          </cell>
          <cell r="C473" t="str">
            <v>RS0044_4312500</v>
          </cell>
          <cell r="D473" t="str">
            <v>MOSTARDAS</v>
          </cell>
          <cell r="E473" t="str">
            <v>RS</v>
          </cell>
          <cell r="F473" t="str">
            <v>û</v>
          </cell>
        </row>
        <row r="474">
          <cell r="A474" t="str">
            <v>SIBK</v>
          </cell>
          <cell r="B474" t="str">
            <v>AEROCLUBE DE BAGÉ</v>
          </cell>
          <cell r="C474" t="str">
            <v>RS0058_4301602</v>
          </cell>
          <cell r="D474" t="str">
            <v>BAGÉ</v>
          </cell>
          <cell r="E474" t="str">
            <v>RS</v>
          </cell>
          <cell r="F474" t="str">
            <v>û</v>
          </cell>
        </row>
        <row r="475">
          <cell r="A475" t="str">
            <v>N426</v>
          </cell>
          <cell r="B475" t="str">
            <v>AEROPORTO PRÉ-PLANEJADO EM SEDE DE UTP</v>
          </cell>
          <cell r="C475" t="str">
            <v>PR-012_4126009</v>
          </cell>
          <cell r="D475" t="str">
            <v>SÃO SEBASTIÃO DA AMOREIRA</v>
          </cell>
          <cell r="E475" t="str">
            <v>PR</v>
          </cell>
          <cell r="F475" t="str">
            <v>û</v>
          </cell>
        </row>
        <row r="476">
          <cell r="A476" t="str">
            <v>N126</v>
          </cell>
          <cell r="B476" t="str">
            <v>AEROPORTO PRÉ-PLANEJADO EM SEDE DE UTP</v>
          </cell>
          <cell r="C476" t="str">
            <v>MA-007_2103307</v>
          </cell>
          <cell r="D476" t="str">
            <v>CODÓ</v>
          </cell>
          <cell r="E476" t="str">
            <v>MA</v>
          </cell>
          <cell r="F476" t="str">
            <v>û</v>
          </cell>
        </row>
        <row r="477">
          <cell r="A477" t="str">
            <v>N567</v>
          </cell>
          <cell r="B477" t="str">
            <v>AEROPORTO PRÉ-PLANEJADO EM SEDE DE UTP</v>
          </cell>
          <cell r="C477" t="str">
            <v>BA-007_2906204</v>
          </cell>
          <cell r="D477" t="str">
            <v>CANARANA</v>
          </cell>
          <cell r="E477" t="str">
            <v>BA</v>
          </cell>
          <cell r="F477" t="str">
            <v>û</v>
          </cell>
        </row>
        <row r="478">
          <cell r="A478" t="str">
            <v>SWUQ</v>
          </cell>
          <cell r="B478" t="str">
            <v>SURUCUCU</v>
          </cell>
          <cell r="C478" t="str">
            <v>RR0113_1400050</v>
          </cell>
          <cell r="D478" t="str">
            <v>ALTO ALEGRE</v>
          </cell>
          <cell r="E478" t="str">
            <v>RR</v>
          </cell>
          <cell r="F478" t="str">
            <v>û</v>
          </cell>
        </row>
        <row r="479">
          <cell r="A479" t="str">
            <v>SSPN</v>
          </cell>
          <cell r="B479" t="str">
            <v>PARANAÍBA</v>
          </cell>
          <cell r="C479" t="str">
            <v>MS0010_5006309</v>
          </cell>
          <cell r="D479" t="str">
            <v>PARANAÍBA</v>
          </cell>
          <cell r="E479" t="str">
            <v>MS</v>
          </cell>
          <cell r="F479" t="str">
            <v>û</v>
          </cell>
        </row>
        <row r="480">
          <cell r="A480" t="str">
            <v>SIBW</v>
          </cell>
          <cell r="B480" t="str">
            <v>CONCEIÇÃO</v>
          </cell>
          <cell r="C480" t="str">
            <v>PB0008_2504405</v>
          </cell>
          <cell r="D480" t="str">
            <v>CONCEIÇÃO</v>
          </cell>
          <cell r="E480" t="str">
            <v>PB</v>
          </cell>
          <cell r="F480" t="str">
            <v>û</v>
          </cell>
        </row>
        <row r="481">
          <cell r="A481" t="str">
            <v>N325</v>
          </cell>
          <cell r="B481" t="str">
            <v>AEROPORTO PRÉ-PLANEJADO EM SEDE DE UTP</v>
          </cell>
          <cell r="C481" t="str">
            <v>SP-020_3536604</v>
          </cell>
          <cell r="D481" t="str">
            <v>PAULO DE FARIA</v>
          </cell>
          <cell r="E481" t="str">
            <v>SP</v>
          </cell>
          <cell r="F481" t="str">
            <v>û</v>
          </cell>
        </row>
        <row r="482">
          <cell r="A482" t="str">
            <v>SJ73</v>
          </cell>
          <cell r="B482" t="str">
            <v>CASTELO DO PIAUÍ</v>
          </cell>
          <cell r="C482" t="str">
            <v>PI0069_2202604</v>
          </cell>
          <cell r="D482" t="str">
            <v>CASTELO DO PIAUÍ</v>
          </cell>
          <cell r="E482" t="str">
            <v>PI</v>
          </cell>
          <cell r="F482" t="str">
            <v>û</v>
          </cell>
        </row>
        <row r="483">
          <cell r="A483" t="str">
            <v>N216</v>
          </cell>
          <cell r="B483" t="str">
            <v>AEROPORTO PRÉ-PLANEJADO EM SEDE DE UTP</v>
          </cell>
          <cell r="C483" t="str">
            <v>RJ-012_3302106</v>
          </cell>
          <cell r="D483" t="str">
            <v>ITAOCARA</v>
          </cell>
          <cell r="E483" t="str">
            <v>RJ</v>
          </cell>
          <cell r="F483" t="str">
            <v>û</v>
          </cell>
        </row>
        <row r="484">
          <cell r="A484" t="str">
            <v>N106</v>
          </cell>
          <cell r="B484" t="str">
            <v>AEROPORTO PRÉ-PLANEJADO EM SEDE DE UTP</v>
          </cell>
          <cell r="C484" t="str">
            <v>SC-003_4203907</v>
          </cell>
          <cell r="D484" t="str">
            <v>CAPINZAL</v>
          </cell>
          <cell r="E484" t="str">
            <v>SC</v>
          </cell>
          <cell r="F484" t="str">
            <v>û</v>
          </cell>
        </row>
        <row r="485">
          <cell r="A485" t="str">
            <v>N203</v>
          </cell>
          <cell r="B485" t="str">
            <v>AEROPORTO PRÉ-PLANEJADO EM SEDE DE UTP</v>
          </cell>
          <cell r="C485" t="str">
            <v>RS-020_4315107</v>
          </cell>
          <cell r="D485" t="str">
            <v>PORTO XAVIER</v>
          </cell>
          <cell r="E485" t="str">
            <v>RS</v>
          </cell>
          <cell r="F485" t="str">
            <v>û</v>
          </cell>
        </row>
        <row r="486">
          <cell r="A486" t="str">
            <v>SSMR</v>
          </cell>
          <cell r="B486" t="str">
            <v>MANOEL RIBAS</v>
          </cell>
          <cell r="C486" t="str">
            <v>PR0026_4114500</v>
          </cell>
          <cell r="D486" t="str">
            <v>MANOEL RIBAS</v>
          </cell>
          <cell r="E486" t="str">
            <v>PR</v>
          </cell>
          <cell r="F486" t="str">
            <v>û</v>
          </cell>
        </row>
        <row r="487">
          <cell r="A487" t="str">
            <v>N382</v>
          </cell>
          <cell r="B487" t="str">
            <v>AEROPORTO PRÉ-PLANEJADO EM SEDE DE UTP</v>
          </cell>
          <cell r="C487" t="str">
            <v>SP-022_3544202</v>
          </cell>
          <cell r="D487" t="str">
            <v>RIOLÂNDIA</v>
          </cell>
          <cell r="E487" t="str">
            <v>SP</v>
          </cell>
          <cell r="F487" t="str">
            <v>û</v>
          </cell>
        </row>
        <row r="488">
          <cell r="A488" t="str">
            <v>SSIR</v>
          </cell>
          <cell r="B488" t="str">
            <v>IBIRUBÁ</v>
          </cell>
          <cell r="C488" t="str">
            <v>RS0049_4310009</v>
          </cell>
          <cell r="D488" t="str">
            <v>IBIRUBÁ</v>
          </cell>
          <cell r="E488" t="str">
            <v>RS</v>
          </cell>
          <cell r="F488" t="str">
            <v>û</v>
          </cell>
        </row>
        <row r="489">
          <cell r="A489" t="str">
            <v>SSNQ</v>
          </cell>
          <cell r="B489" t="str">
            <v>NIOAQUE</v>
          </cell>
          <cell r="C489" t="str">
            <v>MS0016_5005806</v>
          </cell>
          <cell r="D489" t="str">
            <v>NIOAQUE</v>
          </cell>
          <cell r="E489" t="str">
            <v>MS</v>
          </cell>
          <cell r="F489" t="str">
            <v>û</v>
          </cell>
        </row>
        <row r="490">
          <cell r="A490" t="str">
            <v>SNVD</v>
          </cell>
          <cell r="B490" t="str">
            <v>SANTA MARIA DA VITÓRIA</v>
          </cell>
          <cell r="C490" t="str">
            <v>BA0050_2928109</v>
          </cell>
          <cell r="D490" t="str">
            <v>SANTA MARIA DA VITÓRIA</v>
          </cell>
          <cell r="E490" t="str">
            <v>BA</v>
          </cell>
          <cell r="F490" t="str">
            <v>û</v>
          </cell>
        </row>
        <row r="491">
          <cell r="A491" t="str">
            <v>SSHZ</v>
          </cell>
          <cell r="B491" t="str">
            <v>WALTER BÜNDCHEN</v>
          </cell>
          <cell r="C491" t="str">
            <v>RS0037_4309605</v>
          </cell>
          <cell r="D491" t="str">
            <v>HORIZONTINA</v>
          </cell>
          <cell r="E491" t="str">
            <v>RS</v>
          </cell>
          <cell r="F491" t="str">
            <v>û</v>
          </cell>
        </row>
        <row r="492">
          <cell r="A492" t="str">
            <v>N408</v>
          </cell>
          <cell r="B492" t="str">
            <v>AEROPORTO PRÉ-PLANEJADO EM SEDE DE UTP</v>
          </cell>
          <cell r="C492" t="str">
            <v>PA-020_1507458</v>
          </cell>
          <cell r="D492" t="str">
            <v>SÃO GERALDO DO ARAGUAIA</v>
          </cell>
          <cell r="E492" t="str">
            <v>PA</v>
          </cell>
          <cell r="F492" t="str">
            <v>û</v>
          </cell>
        </row>
        <row r="493">
          <cell r="A493" t="str">
            <v>SSST</v>
          </cell>
          <cell r="B493" t="str">
            <v>SANTIAGO</v>
          </cell>
          <cell r="C493" t="str">
            <v>RS0015_4317400</v>
          </cell>
          <cell r="D493" t="str">
            <v>SANTIAGO</v>
          </cell>
          <cell r="E493" t="str">
            <v>RS</v>
          </cell>
          <cell r="F493" t="str">
            <v>û</v>
          </cell>
        </row>
        <row r="494">
          <cell r="A494" t="str">
            <v>SSQT</v>
          </cell>
          <cell r="B494" t="str">
            <v>MAJOR NEODO S. PEREIRA</v>
          </cell>
          <cell r="C494" t="str">
            <v>PR0013_4104907</v>
          </cell>
          <cell r="D494" t="str">
            <v>CASTRO</v>
          </cell>
          <cell r="E494" t="str">
            <v>PR</v>
          </cell>
          <cell r="F494" t="str">
            <v>û</v>
          </cell>
        </row>
        <row r="495">
          <cell r="A495" t="str">
            <v>SNQG</v>
          </cell>
          <cell r="B495" t="str">
            <v>CANGAPARA</v>
          </cell>
          <cell r="C495" t="str">
            <v>PI0003_2203909</v>
          </cell>
          <cell r="D495" t="str">
            <v>FLORIANO</v>
          </cell>
          <cell r="E495" t="str">
            <v>PI</v>
          </cell>
          <cell r="F495" t="str">
            <v>û</v>
          </cell>
        </row>
        <row r="496">
          <cell r="A496" t="str">
            <v>SJ7W</v>
          </cell>
          <cell r="B496" t="str">
            <v>VALENTE</v>
          </cell>
          <cell r="C496" t="str">
            <v>BA0060_2933000</v>
          </cell>
          <cell r="D496" t="str">
            <v>VALENTE</v>
          </cell>
          <cell r="E496" t="str">
            <v>BA</v>
          </cell>
          <cell r="F496" t="str">
            <v>û</v>
          </cell>
        </row>
        <row r="497">
          <cell r="A497" t="str">
            <v>N609</v>
          </cell>
          <cell r="B497" t="str">
            <v>AEROPORTO PRÉ-PLANEJADO EM SEDE DE UTP</v>
          </cell>
          <cell r="C497" t="str">
            <v>SP-010_3518206</v>
          </cell>
          <cell r="D497" t="str">
            <v>GUARARAPES</v>
          </cell>
          <cell r="E497" t="str">
            <v>SP</v>
          </cell>
          <cell r="F497" t="str">
            <v>û</v>
          </cell>
        </row>
        <row r="498">
          <cell r="A498" t="str">
            <v>N047</v>
          </cell>
          <cell r="B498" t="str">
            <v>AEROPORTO PRÉ-PLANEJADO EM SEDE DE UTP</v>
          </cell>
          <cell r="C498" t="str">
            <v>SP-004_3505302</v>
          </cell>
          <cell r="D498" t="str">
            <v>BARRA BONITA</v>
          </cell>
          <cell r="E498" t="str">
            <v>SP</v>
          </cell>
          <cell r="F498" t="str">
            <v>û</v>
          </cell>
        </row>
        <row r="499">
          <cell r="A499" t="str">
            <v>N092</v>
          </cell>
          <cell r="B499" t="str">
            <v>AEROPORTO PRÉ-PLANEJADO EM SEDE DE UTP</v>
          </cell>
          <cell r="C499" t="str">
            <v>PA-008_1502103</v>
          </cell>
          <cell r="D499" t="str">
            <v>CAMETÁ</v>
          </cell>
          <cell r="E499" t="str">
            <v>PA</v>
          </cell>
          <cell r="F499" t="str">
            <v>û</v>
          </cell>
        </row>
        <row r="500">
          <cell r="A500" t="str">
            <v>SSPS</v>
          </cell>
          <cell r="B500" t="str">
            <v>DIMORVAN CARRARO</v>
          </cell>
          <cell r="C500" t="str">
            <v>PR0036_4117602</v>
          </cell>
          <cell r="D500" t="str">
            <v>PALMAS</v>
          </cell>
          <cell r="E500" t="str">
            <v>PR</v>
          </cell>
          <cell r="F500" t="str">
            <v>û</v>
          </cell>
        </row>
        <row r="501">
          <cell r="A501" t="str">
            <v>N937</v>
          </cell>
          <cell r="B501" t="str">
            <v>AEROPORTO PRÉ-PLANEJADO EM SEDE DE UTP</v>
          </cell>
          <cell r="C501" t="str">
            <v>GO-016_5219407</v>
          </cell>
          <cell r="D501" t="str">
            <v>SANTA RITA DO ARAGUAIA</v>
          </cell>
          <cell r="E501" t="str">
            <v>GO</v>
          </cell>
          <cell r="F501" t="str">
            <v>û</v>
          </cell>
        </row>
        <row r="502">
          <cell r="A502" t="str">
            <v>SDPV</v>
          </cell>
          <cell r="B502" t="str">
            <v>PRESIDENTE VENCESLAU</v>
          </cell>
          <cell r="C502" t="str">
            <v>SP0040_3541505</v>
          </cell>
          <cell r="D502" t="str">
            <v>PRESIDENTE VENCESLAU</v>
          </cell>
          <cell r="E502" t="str">
            <v>SP</v>
          </cell>
          <cell r="F502" t="str">
            <v>û</v>
          </cell>
        </row>
        <row r="503">
          <cell r="A503" t="str">
            <v>N850</v>
          </cell>
          <cell r="B503" t="str">
            <v>AEROPORTO PRÉ-PLANEJADO EM SEDE DE UTP</v>
          </cell>
          <cell r="C503" t="str">
            <v>MS-009_5007208</v>
          </cell>
          <cell r="D503" t="str">
            <v>RIO BRILHANTE</v>
          </cell>
          <cell r="E503" t="str">
            <v>MS</v>
          </cell>
          <cell r="F503" t="str">
            <v>û</v>
          </cell>
        </row>
        <row r="504">
          <cell r="A504" t="str">
            <v>N531</v>
          </cell>
          <cell r="B504" t="str">
            <v>AEROPORTO PRÉ-PLANEJADO EM SEDE DE UTP</v>
          </cell>
          <cell r="C504" t="str">
            <v>MA-005_2102903</v>
          </cell>
          <cell r="D504" t="str">
            <v>CARUTAPERA</v>
          </cell>
          <cell r="E504" t="str">
            <v>MA</v>
          </cell>
          <cell r="F504" t="str">
            <v>û</v>
          </cell>
        </row>
        <row r="505">
          <cell r="A505" t="str">
            <v>N288</v>
          </cell>
          <cell r="B505" t="str">
            <v>AEROPORTO PRÉ-PLANEJADO EM SEDE DE UTP</v>
          </cell>
          <cell r="C505" t="str">
            <v>MA-015_2107100</v>
          </cell>
          <cell r="D505" t="str">
            <v>MORROS</v>
          </cell>
          <cell r="E505" t="str">
            <v>MA</v>
          </cell>
          <cell r="F505" t="str">
            <v>û</v>
          </cell>
        </row>
        <row r="506">
          <cell r="A506" t="str">
            <v>SWPB</v>
          </cell>
          <cell r="B506" t="str">
            <v>FORTE PRÍNCIPE DA BEIRA</v>
          </cell>
          <cell r="C506" t="str">
            <v>RO9001_1100080</v>
          </cell>
          <cell r="D506" t="str">
            <v>Costa Marques</v>
          </cell>
          <cell r="E506" t="str">
            <v>RO</v>
          </cell>
          <cell r="F506" t="str">
            <v>û</v>
          </cell>
        </row>
        <row r="507">
          <cell r="A507" t="str">
            <v>N020</v>
          </cell>
          <cell r="B507" t="str">
            <v>AEROPORTO PRÉ-PLANEJADO EM SEDE DE UTP</v>
          </cell>
          <cell r="C507" t="str">
            <v>MS-003_5001102</v>
          </cell>
          <cell r="D507" t="str">
            <v>AQUIDAUANA</v>
          </cell>
          <cell r="E507" t="str">
            <v>MS</v>
          </cell>
          <cell r="F507" t="str">
            <v>û</v>
          </cell>
        </row>
        <row r="508">
          <cell r="A508" t="str">
            <v>SNTY</v>
          </cell>
          <cell r="B508" t="str">
            <v>CORRENTINA</v>
          </cell>
          <cell r="C508" t="str">
            <v>BA0051_2909307</v>
          </cell>
          <cell r="D508" t="str">
            <v>CORRENTINA</v>
          </cell>
          <cell r="E508" t="str">
            <v>BA</v>
          </cell>
          <cell r="F508" t="str">
            <v>û</v>
          </cell>
        </row>
        <row r="509">
          <cell r="A509" t="str">
            <v>SNIC</v>
          </cell>
          <cell r="B509" t="str">
            <v>IRECÊ</v>
          </cell>
          <cell r="C509" t="str">
            <v>BA0019_2914604</v>
          </cell>
          <cell r="D509" t="str">
            <v>IRECÊ</v>
          </cell>
          <cell r="E509" t="str">
            <v>BA</v>
          </cell>
          <cell r="F509" t="str">
            <v>û</v>
          </cell>
        </row>
        <row r="510">
          <cell r="A510" t="str">
            <v>SWME</v>
          </cell>
          <cell r="B510" t="str">
            <v>MINEIROS</v>
          </cell>
          <cell r="C510" t="str">
            <v>GO0033_5213103</v>
          </cell>
          <cell r="D510" t="str">
            <v>MINEIROS</v>
          </cell>
          <cell r="E510" t="str">
            <v>GO</v>
          </cell>
          <cell r="F510" t="str">
            <v>û</v>
          </cell>
        </row>
        <row r="511">
          <cell r="A511" t="str">
            <v>N326</v>
          </cell>
          <cell r="B511" t="str">
            <v>AEROPORTO PRÉ-PLANEJADO EM SEDE DE UTP</v>
          </cell>
          <cell r="C511" t="str">
            <v>MA-016_2108207</v>
          </cell>
          <cell r="D511" t="str">
            <v>PEDREIRAS</v>
          </cell>
          <cell r="E511" t="str">
            <v>MA</v>
          </cell>
          <cell r="F511" t="str">
            <v>û</v>
          </cell>
        </row>
        <row r="512">
          <cell r="A512" t="str">
            <v>SWBS</v>
          </cell>
          <cell r="B512" t="str">
            <v>ROLIM DE MOURA</v>
          </cell>
          <cell r="C512" t="str">
            <v>RO0028_1100288</v>
          </cell>
          <cell r="D512" t="str">
            <v>ROLIM DE MOURA</v>
          </cell>
          <cell r="E512" t="str">
            <v>RO</v>
          </cell>
          <cell r="F512" t="str">
            <v>û</v>
          </cell>
        </row>
        <row r="513">
          <cell r="A513" t="str">
            <v>SSBV</v>
          </cell>
          <cell r="B513" t="str">
            <v>BELA VISTA</v>
          </cell>
          <cell r="C513" t="str">
            <v>MS0011_5002100</v>
          </cell>
          <cell r="D513" t="str">
            <v>BELA VISTA</v>
          </cell>
          <cell r="E513" t="str">
            <v>MS</v>
          </cell>
          <cell r="F513" t="str">
            <v>û</v>
          </cell>
        </row>
        <row r="514">
          <cell r="A514" t="str">
            <v>N232</v>
          </cell>
          <cell r="B514" t="str">
            <v>AEROPORTO PRÉ-PLANEJADO EM SEDE DE UTP</v>
          </cell>
          <cell r="C514" t="str">
            <v>PR-005_4112108</v>
          </cell>
          <cell r="D514" t="str">
            <v>JANDAIA DO SUL</v>
          </cell>
          <cell r="E514" t="str">
            <v>PR</v>
          </cell>
          <cell r="F514" t="str">
            <v>û</v>
          </cell>
        </row>
        <row r="515">
          <cell r="A515" t="str">
            <v>N307</v>
          </cell>
          <cell r="B515" t="str">
            <v>AEROPORTO PRÉ-PLANEJADO EM SEDE DE UTP</v>
          </cell>
          <cell r="C515" t="str">
            <v>PR-009_4118105</v>
          </cell>
          <cell r="D515" t="str">
            <v>PARANACITY</v>
          </cell>
          <cell r="E515" t="str">
            <v>PR</v>
          </cell>
          <cell r="F515" t="str">
            <v>û</v>
          </cell>
        </row>
        <row r="516">
          <cell r="A516" t="str">
            <v>SWJW</v>
          </cell>
          <cell r="B516" t="str">
            <v>JATAÍ</v>
          </cell>
          <cell r="C516" t="str">
            <v>GO0008_5211909</v>
          </cell>
          <cell r="D516" t="str">
            <v>JATAÍ</v>
          </cell>
          <cell r="E516" t="str">
            <v>GO</v>
          </cell>
          <cell r="F516" t="str">
            <v>û</v>
          </cell>
        </row>
        <row r="517">
          <cell r="A517" t="str">
            <v>SNZW</v>
          </cell>
          <cell r="B517" t="str">
            <v>DE ITUBERA</v>
          </cell>
          <cell r="C517" t="str">
            <v>BA0063_2917300</v>
          </cell>
          <cell r="D517" t="str">
            <v>ITUBERÁ</v>
          </cell>
          <cell r="E517" t="str">
            <v>BA</v>
          </cell>
          <cell r="F517" t="str">
            <v>û</v>
          </cell>
        </row>
        <row r="518">
          <cell r="A518" t="str">
            <v>SWXV</v>
          </cell>
          <cell r="B518" t="str">
            <v>NOVA XAVANTINA</v>
          </cell>
          <cell r="C518" t="str">
            <v>MT0013_5106257</v>
          </cell>
          <cell r="D518" t="str">
            <v>NOVA XAVANTINA</v>
          </cell>
          <cell r="E518" t="str">
            <v>MT</v>
          </cell>
          <cell r="F518" t="str">
            <v>û</v>
          </cell>
        </row>
        <row r="519">
          <cell r="A519" t="str">
            <v>N296</v>
          </cell>
          <cell r="B519" t="str">
            <v>AEROPORTO PRÉ-PLANEJADO EM SEDE DE UTP</v>
          </cell>
          <cell r="C519" t="str">
            <v>SP-019_3533007</v>
          </cell>
          <cell r="D519" t="str">
            <v>NOVA GRANADA</v>
          </cell>
          <cell r="E519" t="str">
            <v>SP</v>
          </cell>
          <cell r="F519" t="str">
            <v>û</v>
          </cell>
        </row>
        <row r="520">
          <cell r="A520" t="str">
            <v>N877</v>
          </cell>
          <cell r="B520" t="str">
            <v>AEROPORTO PRÉ-PLANEJADO EM SEDE DE UTP</v>
          </cell>
          <cell r="C520" t="str">
            <v>MT-006_5106000</v>
          </cell>
          <cell r="D520" t="str">
            <v>NORTELÂNDIA</v>
          </cell>
          <cell r="E520" t="str">
            <v>MT</v>
          </cell>
          <cell r="F520" t="str">
            <v>û</v>
          </cell>
        </row>
        <row r="521">
          <cell r="A521" t="str">
            <v>N899</v>
          </cell>
          <cell r="B521" t="str">
            <v>AEROPORTO PRÉ-PLANEJADO EM SEDE DE UTP</v>
          </cell>
          <cell r="C521" t="str">
            <v>SP-012_3520400</v>
          </cell>
          <cell r="D521" t="str">
            <v>ILHABELA</v>
          </cell>
          <cell r="E521" t="str">
            <v>SP</v>
          </cell>
          <cell r="F521" t="str">
            <v>û</v>
          </cell>
        </row>
        <row r="522">
          <cell r="A522" t="str">
            <v>N028</v>
          </cell>
          <cell r="B522" t="str">
            <v>AEROPORTO PRÉ-PLANEJADO EM SEDE DE UTP</v>
          </cell>
          <cell r="C522" t="str">
            <v>SC-001_4201406</v>
          </cell>
          <cell r="D522" t="str">
            <v>ARARANGUÁ</v>
          </cell>
          <cell r="E522" t="str">
            <v>SC</v>
          </cell>
          <cell r="F522" t="str">
            <v>û</v>
          </cell>
        </row>
        <row r="523">
          <cell r="A523" t="str">
            <v>SNNU</v>
          </cell>
          <cell r="B523" t="str">
            <v>NANUQUE</v>
          </cell>
          <cell r="C523" t="str">
            <v>MG0041_3144300</v>
          </cell>
          <cell r="D523" t="str">
            <v>NANUQUE</v>
          </cell>
          <cell r="E523" t="str">
            <v>MG</v>
          </cell>
          <cell r="F523" t="str">
            <v>û</v>
          </cell>
        </row>
        <row r="524">
          <cell r="A524" t="str">
            <v>SNXA</v>
          </cell>
          <cell r="B524" t="str">
            <v>BRIGADEIRO SAMPAIO</v>
          </cell>
          <cell r="C524" t="str">
            <v>CE0132_2313203</v>
          </cell>
          <cell r="D524" t="str">
            <v>TAMBORIL</v>
          </cell>
          <cell r="E524" t="str">
            <v>CE</v>
          </cell>
          <cell r="F524" t="str">
            <v>û</v>
          </cell>
        </row>
        <row r="525">
          <cell r="A525" t="str">
            <v>N278</v>
          </cell>
          <cell r="B525" t="str">
            <v>AEROPORTO PRÉ-PLANEJADO EM SEDE DE UTP</v>
          </cell>
          <cell r="C525" t="str">
            <v>PE-005_2606606</v>
          </cell>
          <cell r="D525" t="str">
            <v>IBIMIRIM</v>
          </cell>
          <cell r="E525" t="str">
            <v>PE</v>
          </cell>
          <cell r="F525" t="str">
            <v>û</v>
          </cell>
        </row>
        <row r="526">
          <cell r="A526" t="str">
            <v>N170</v>
          </cell>
          <cell r="B526" t="str">
            <v>AEROPORTO PRÉ-PLANEJADO EM SEDE DE UTP</v>
          </cell>
          <cell r="C526" t="str">
            <v>MA-009_2103505</v>
          </cell>
          <cell r="D526" t="str">
            <v>COLINAS</v>
          </cell>
          <cell r="E526" t="str">
            <v>MA</v>
          </cell>
          <cell r="F526" t="str">
            <v>û</v>
          </cell>
        </row>
        <row r="527">
          <cell r="A527" t="str">
            <v>N161</v>
          </cell>
          <cell r="B527" t="str">
            <v>AEROPORTO PRÉ-PLANEJADO EM SEDE DE UTP</v>
          </cell>
          <cell r="C527" t="str">
            <v>RS-010_4308904</v>
          </cell>
          <cell r="D527" t="str">
            <v>GETÚLIO VARGAS</v>
          </cell>
          <cell r="E527" t="str">
            <v>RS</v>
          </cell>
          <cell r="F527" t="str">
            <v>û</v>
          </cell>
        </row>
        <row r="528">
          <cell r="A528" t="str">
            <v>N311</v>
          </cell>
          <cell r="B528" t="str">
            <v>AEROPORTO PRÉ-PLANEJADO EM SEDE DE UTP</v>
          </cell>
          <cell r="C528" t="str">
            <v>BA-003_2904100</v>
          </cell>
          <cell r="D528" t="str">
            <v>BOQUIRA</v>
          </cell>
          <cell r="E528" t="str">
            <v>BA</v>
          </cell>
          <cell r="F528" t="str">
            <v>û</v>
          </cell>
        </row>
        <row r="529">
          <cell r="A529" t="str">
            <v>SDEP</v>
          </cell>
          <cell r="B529" t="str">
            <v>GERALDO MOACIR BORDON</v>
          </cell>
          <cell r="C529" t="str">
            <v>SP0052_3541307</v>
          </cell>
          <cell r="D529" t="str">
            <v>PRESIDENTE EPITÁCIO</v>
          </cell>
          <cell r="E529" t="str">
            <v>SP</v>
          </cell>
          <cell r="F529" t="str">
            <v>û</v>
          </cell>
        </row>
        <row r="530">
          <cell r="A530" t="str">
            <v>N583</v>
          </cell>
          <cell r="B530" t="str">
            <v>AEROPORTO PRÉ-PLANEJADO EM SEDE DE UTP</v>
          </cell>
          <cell r="C530" t="str">
            <v>PR-004_4105102</v>
          </cell>
          <cell r="D530" t="str">
            <v>CENTENÁRIO DO SUL</v>
          </cell>
          <cell r="E530" t="str">
            <v>PR</v>
          </cell>
          <cell r="F530" t="str">
            <v>û</v>
          </cell>
        </row>
        <row r="531">
          <cell r="A531" t="str">
            <v>N487</v>
          </cell>
          <cell r="B531" t="str">
            <v>AEROPORTO PRÉ-PLANEJADO EM SEDE DE UTP</v>
          </cell>
          <cell r="C531" t="str">
            <v>PE-002_2600203</v>
          </cell>
          <cell r="D531" t="str">
            <v>AFRÂNIO</v>
          </cell>
          <cell r="E531" t="str">
            <v>PE</v>
          </cell>
          <cell r="F531" t="str">
            <v>û</v>
          </cell>
        </row>
        <row r="532">
          <cell r="A532" t="str">
            <v>N128</v>
          </cell>
          <cell r="B532" t="str">
            <v>AEROPORTO PRÉ-PLANEJADO EM SEDE DE UTP</v>
          </cell>
          <cell r="C532" t="str">
            <v>PA-018_1506708</v>
          </cell>
          <cell r="D532" t="str">
            <v>SANTANA DO ARAGUAIA</v>
          </cell>
          <cell r="E532" t="str">
            <v>PA</v>
          </cell>
          <cell r="F532" t="str">
            <v>û</v>
          </cell>
        </row>
        <row r="533">
          <cell r="A533" t="str">
            <v>SNXX</v>
          </cell>
          <cell r="B533" t="str">
            <v>MAXARANGUAPE</v>
          </cell>
          <cell r="C533" t="str">
            <v>RN9002_2407500</v>
          </cell>
          <cell r="D533" t="str">
            <v>Maxaranguape</v>
          </cell>
          <cell r="E533" t="str">
            <v>RN</v>
          </cell>
          <cell r="F533" t="str">
            <v>û</v>
          </cell>
        </row>
        <row r="534">
          <cell r="A534" t="str">
            <v>N388</v>
          </cell>
          <cell r="B534" t="str">
            <v>AEROPORTO PRÉ-PLANEJADO EM SEDE DE UTP</v>
          </cell>
          <cell r="C534" t="str">
            <v>SP-024_3546603</v>
          </cell>
          <cell r="D534" t="str">
            <v>SANTA FÉ DO SUL</v>
          </cell>
          <cell r="E534" t="str">
            <v>SP</v>
          </cell>
          <cell r="F534" t="str">
            <v>û</v>
          </cell>
        </row>
        <row r="535">
          <cell r="A535" t="str">
            <v>SWCD</v>
          </cell>
          <cell r="B535" t="str">
            <v>COLIDER</v>
          </cell>
          <cell r="C535" t="str">
            <v>MT0330_5103205</v>
          </cell>
          <cell r="D535" t="str">
            <v>COLÍDER</v>
          </cell>
          <cell r="E535" t="str">
            <v>MT</v>
          </cell>
          <cell r="F535" t="str">
            <v>û</v>
          </cell>
        </row>
        <row r="536">
          <cell r="A536" t="str">
            <v>N211</v>
          </cell>
          <cell r="B536" t="str">
            <v>AEROPORTO PRÉ-PLANEJADO EM SEDE DE UTP</v>
          </cell>
          <cell r="C536" t="str">
            <v>MG-013_3131703</v>
          </cell>
          <cell r="D536" t="str">
            <v>ITABIRA</v>
          </cell>
          <cell r="E536" t="str">
            <v>MG</v>
          </cell>
          <cell r="F536" t="str">
            <v>û</v>
          </cell>
        </row>
        <row r="537">
          <cell r="A537" t="str">
            <v>N360</v>
          </cell>
          <cell r="B537" t="str">
            <v>AEROPORTO PRÉ-PLANEJADO EM SEDE DE UTP</v>
          </cell>
          <cell r="C537" t="str">
            <v>BA-018_2919801</v>
          </cell>
          <cell r="D537" t="str">
            <v>MACAÚBAS</v>
          </cell>
          <cell r="E537" t="str">
            <v>BA</v>
          </cell>
          <cell r="F537" t="str">
            <v>û</v>
          </cell>
        </row>
        <row r="538">
          <cell r="A538" t="str">
            <v>N884</v>
          </cell>
          <cell r="B538" t="str">
            <v>AEROPORTO PRÉ-PLANEJADO EM SEDE DE UTP</v>
          </cell>
          <cell r="C538" t="str">
            <v>PI-006_2211407</v>
          </cell>
          <cell r="D538" t="str">
            <v>VÁRZEA GRANDE</v>
          </cell>
          <cell r="E538" t="str">
            <v>PI</v>
          </cell>
          <cell r="F538" t="str">
            <v>û</v>
          </cell>
        </row>
        <row r="539">
          <cell r="A539" t="str">
            <v>SWPK</v>
          </cell>
          <cell r="B539" t="str">
            <v>POCONÉ</v>
          </cell>
          <cell r="C539" t="str">
            <v>MT0021_5106505</v>
          </cell>
          <cell r="D539" t="str">
            <v>POCONÉ</v>
          </cell>
          <cell r="E539" t="str">
            <v>MT</v>
          </cell>
          <cell r="F539" t="str">
            <v>û</v>
          </cell>
        </row>
        <row r="540">
          <cell r="A540" t="str">
            <v>SDDN</v>
          </cell>
          <cell r="B540" t="str">
            <v>PAULINO RIBEIRO DE ANDRADE</v>
          </cell>
          <cell r="C540" t="str">
            <v>SP0020_3502101</v>
          </cell>
          <cell r="D540" t="str">
            <v>ANDRADINA</v>
          </cell>
          <cell r="E540" t="str">
            <v>SP</v>
          </cell>
          <cell r="F540" t="str">
            <v>û</v>
          </cell>
        </row>
        <row r="541">
          <cell r="A541" t="str">
            <v>N134</v>
          </cell>
          <cell r="B541" t="str">
            <v>AEROPORTO PRÉ-PLANEJADO FORA DE SEDE DE UTP</v>
          </cell>
          <cell r="C541" t="str">
            <v>MG-024_3146107</v>
          </cell>
          <cell r="D541" t="str">
            <v>OURO PRETO</v>
          </cell>
          <cell r="E541" t="str">
            <v>MG</v>
          </cell>
          <cell r="F541" t="str">
            <v>û</v>
          </cell>
        </row>
        <row r="542">
          <cell r="A542" t="str">
            <v>SBIT</v>
          </cell>
          <cell r="B542" t="str">
            <v>HIDRELÉTRICA DE ITUMBIARA</v>
          </cell>
          <cell r="C542" t="str">
            <v>GO0035_5211503</v>
          </cell>
          <cell r="D542" t="str">
            <v>ITUMBIARA</v>
          </cell>
          <cell r="E542" t="str">
            <v>GO</v>
          </cell>
          <cell r="F542" t="str">
            <v>û</v>
          </cell>
        </row>
        <row r="543">
          <cell r="A543" t="str">
            <v>SDAD</v>
          </cell>
          <cell r="B543" t="str">
            <v>EVERALDO MORAES BARRETO</v>
          </cell>
          <cell r="C543" t="str">
            <v>SP0046_3500105</v>
          </cell>
          <cell r="D543" t="str">
            <v>ADAMANTINA</v>
          </cell>
          <cell r="E543" t="str">
            <v>SP</v>
          </cell>
          <cell r="F543" t="str">
            <v>û</v>
          </cell>
        </row>
        <row r="544">
          <cell r="A544" t="str">
            <v>N169</v>
          </cell>
          <cell r="B544" t="str">
            <v>AEROPORTO PRÉ-PLANEJADO EM SEDE DE UTP</v>
          </cell>
          <cell r="C544" t="str">
            <v>MA-008_2103406</v>
          </cell>
          <cell r="D544" t="str">
            <v>COELHO NETO</v>
          </cell>
          <cell r="E544" t="str">
            <v>MA</v>
          </cell>
          <cell r="F544" t="str">
            <v>û</v>
          </cell>
        </row>
        <row r="545">
          <cell r="A545" t="str">
            <v>SJ2Y</v>
          </cell>
          <cell r="B545" t="str">
            <v>AEROCLUBE DE LUCÉLIA - CMTE JOÃO POSSIBOM</v>
          </cell>
          <cell r="C545" t="str">
            <v>SP0039_3527405</v>
          </cell>
          <cell r="D545" t="str">
            <v>LUCÉLIA</v>
          </cell>
          <cell r="E545" t="str">
            <v>SP</v>
          </cell>
          <cell r="F545" t="str">
            <v>û</v>
          </cell>
        </row>
        <row r="546">
          <cell r="A546" t="str">
            <v>SDJL</v>
          </cell>
          <cell r="B546" t="str">
            <v>JALES</v>
          </cell>
          <cell r="C546" t="str">
            <v>SP0113_3524808</v>
          </cell>
          <cell r="D546" t="str">
            <v>JALES</v>
          </cell>
          <cell r="E546" t="str">
            <v>SP</v>
          </cell>
          <cell r="F546" t="str">
            <v>û</v>
          </cell>
        </row>
        <row r="547">
          <cell r="A547" t="str">
            <v>N509</v>
          </cell>
          <cell r="B547" t="str">
            <v>AEROPORTO PRÉ-PLANEJADO FORA DE SEDE DE UTP</v>
          </cell>
          <cell r="C547" t="str">
            <v>MG-032_3156908</v>
          </cell>
          <cell r="D547" t="str">
            <v>SACRAMENTO</v>
          </cell>
          <cell r="E547" t="str">
            <v>MG</v>
          </cell>
          <cell r="F547" t="str">
            <v>û</v>
          </cell>
        </row>
        <row r="548">
          <cell r="A548" t="str">
            <v>SSAN</v>
          </cell>
          <cell r="B548" t="str">
            <v>JOÃO GALDINO</v>
          </cell>
          <cell r="C548" t="str">
            <v>PR0032_4101101</v>
          </cell>
          <cell r="D548" t="str">
            <v>ANDIRÁ</v>
          </cell>
          <cell r="E548" t="str">
            <v>PR</v>
          </cell>
          <cell r="F548" t="str">
            <v>û</v>
          </cell>
        </row>
        <row r="549">
          <cell r="A549" t="str">
            <v>N036</v>
          </cell>
          <cell r="B549" t="str">
            <v>AEROPORTO PRÉ-PLANEJADO EM SEDE DE UTP</v>
          </cell>
          <cell r="C549" t="str">
            <v>RJ-010_3300209</v>
          </cell>
          <cell r="D549" t="str">
            <v>ARARUAMA</v>
          </cell>
          <cell r="E549" t="str">
            <v>RJ</v>
          </cell>
          <cell r="F549" t="str">
            <v>û</v>
          </cell>
        </row>
        <row r="550">
          <cell r="A550" t="str">
            <v>N656</v>
          </cell>
          <cell r="B550" t="str">
            <v>AEROPORTO PRÉ-PLANEJADO EM SEDE DE UTP</v>
          </cell>
          <cell r="C550" t="str">
            <v>MS-007_5004304</v>
          </cell>
          <cell r="D550" t="str">
            <v>IGUATEMI</v>
          </cell>
          <cell r="E550" t="str">
            <v>MS</v>
          </cell>
          <cell r="F550" t="str">
            <v>û</v>
          </cell>
        </row>
        <row r="551">
          <cell r="A551" t="str">
            <v>SSJI</v>
          </cell>
          <cell r="B551" t="str">
            <v>JARDIM</v>
          </cell>
          <cell r="C551" t="str">
            <v>MS0019_5005004</v>
          </cell>
          <cell r="D551" t="str">
            <v>JARDIM</v>
          </cell>
          <cell r="E551" t="str">
            <v>MS</v>
          </cell>
          <cell r="F551" t="str">
            <v>û</v>
          </cell>
        </row>
        <row r="552">
          <cell r="A552" t="str">
            <v>N726</v>
          </cell>
          <cell r="B552" t="str">
            <v>AEROPORTO PRÉ-PLANEJADO EM SEDE DE UTP</v>
          </cell>
          <cell r="C552" t="str">
            <v>SC-004_4205001</v>
          </cell>
          <cell r="D552" t="str">
            <v>DIONÍSIO CERQUEIRA</v>
          </cell>
          <cell r="E552" t="str">
            <v>SC</v>
          </cell>
          <cell r="F552" t="str">
            <v>û</v>
          </cell>
        </row>
        <row r="553">
          <cell r="A553" t="str">
            <v>N435</v>
          </cell>
          <cell r="B553" t="str">
            <v>AEROPORTO PRÉ-PLANEJADO EM SEDE DE UTP</v>
          </cell>
          <cell r="C553" t="str">
            <v>SC-017_4217709</v>
          </cell>
          <cell r="D553" t="str">
            <v>SOMBRIO</v>
          </cell>
          <cell r="E553" t="str">
            <v>SC</v>
          </cell>
          <cell r="F553" t="str">
            <v>û</v>
          </cell>
        </row>
        <row r="554">
          <cell r="A554" t="str">
            <v>SDPE</v>
          </cell>
          <cell r="B554" t="str">
            <v>PORTO NACIONAL</v>
          </cell>
          <cell r="C554" t="str">
            <v>TO0003_1718204</v>
          </cell>
          <cell r="D554" t="str">
            <v>PORTO NACIONAL</v>
          </cell>
          <cell r="E554" t="str">
            <v>TO</v>
          </cell>
          <cell r="F554" t="str">
            <v>û</v>
          </cell>
        </row>
        <row r="555">
          <cell r="A555" t="str">
            <v>N761</v>
          </cell>
          <cell r="B555" t="str">
            <v>AEROPORTO PRÉ-PLANEJADO EM SEDE DE UTP</v>
          </cell>
          <cell r="C555" t="str">
            <v>RS-008_4306908</v>
          </cell>
          <cell r="D555" t="str">
            <v>ENCRUZILHADA DO SUL</v>
          </cell>
          <cell r="E555" t="str">
            <v>RS</v>
          </cell>
          <cell r="F555" t="str">
            <v>û</v>
          </cell>
        </row>
        <row r="556">
          <cell r="A556" t="str">
            <v>SDMH</v>
          </cell>
          <cell r="B556" t="str">
            <v>MIRASSOL</v>
          </cell>
          <cell r="C556" t="str">
            <v>SP0059_3530300</v>
          </cell>
          <cell r="D556" t="str">
            <v>MIRASSOL</v>
          </cell>
          <cell r="E556" t="str">
            <v>SP</v>
          </cell>
          <cell r="F556" t="str">
            <v>û</v>
          </cell>
        </row>
        <row r="557">
          <cell r="A557" t="str">
            <v>SSLG</v>
          </cell>
          <cell r="B557" t="str">
            <v>SÃO LUIZ GONZAGA</v>
          </cell>
          <cell r="C557" t="str">
            <v>RS0021_4318903</v>
          </cell>
          <cell r="D557" t="str">
            <v>SÃO LUIZ GONZAGA</v>
          </cell>
          <cell r="E557" t="str">
            <v>RS</v>
          </cell>
          <cell r="F557" t="str">
            <v>û</v>
          </cell>
        </row>
        <row r="558">
          <cell r="A558" t="str">
            <v>SSAK</v>
          </cell>
          <cell r="B558" t="str">
            <v>CARLOS RUHL</v>
          </cell>
          <cell r="C558" t="str">
            <v>RS0048_4306106</v>
          </cell>
          <cell r="D558" t="str">
            <v>CRUZ ALTA</v>
          </cell>
          <cell r="E558" t="str">
            <v>RS</v>
          </cell>
          <cell r="F558" t="str">
            <v>û</v>
          </cell>
        </row>
        <row r="559">
          <cell r="A559" t="str">
            <v>SSJA</v>
          </cell>
          <cell r="B559" t="str">
            <v>SANTA TEREZINHA</v>
          </cell>
          <cell r="C559" t="str">
            <v>SC0014_4209003</v>
          </cell>
          <cell r="D559" t="str">
            <v>JOAÇABA</v>
          </cell>
          <cell r="E559" t="str">
            <v>SC</v>
          </cell>
          <cell r="F559" t="str">
            <v>û</v>
          </cell>
        </row>
        <row r="560">
          <cell r="A560" t="str">
            <v>N160</v>
          </cell>
          <cell r="B560" t="str">
            <v>AEROPORTO PRÉ-PLANEJADO EM SEDE DE UTP</v>
          </cell>
          <cell r="C560" t="str">
            <v>SP-009_3516804</v>
          </cell>
          <cell r="D560" t="str">
            <v>GASTÃO VIDIGAL</v>
          </cell>
          <cell r="E560" t="str">
            <v>SP</v>
          </cell>
          <cell r="F560" t="str">
            <v>û</v>
          </cell>
        </row>
        <row r="561">
          <cell r="A561" t="str">
            <v>SNKI</v>
          </cell>
          <cell r="B561" t="str">
            <v>AERÓDROMO DE CACHOEIRO DE ITAPEMIRIM</v>
          </cell>
          <cell r="C561" t="str">
            <v>ES0006_3201209</v>
          </cell>
          <cell r="D561" t="str">
            <v>CACHOEIRO DE ITAPEMIRIM</v>
          </cell>
          <cell r="E561" t="str">
            <v>ES</v>
          </cell>
          <cell r="F561" t="str">
            <v>û</v>
          </cell>
        </row>
        <row r="562">
          <cell r="A562" t="str">
            <v>N511</v>
          </cell>
          <cell r="B562" t="str">
            <v>AEROPORTO PRÉ-PLANEJADO FORA DE SEDE DE UTP</v>
          </cell>
          <cell r="C562" t="str">
            <v>MG-033_3156908</v>
          </cell>
          <cell r="D562" t="str">
            <v>SACRAMENTO</v>
          </cell>
          <cell r="E562" t="str">
            <v>MG</v>
          </cell>
          <cell r="F562" t="str">
            <v>û</v>
          </cell>
        </row>
        <row r="563">
          <cell r="A563" t="str">
            <v>N735</v>
          </cell>
          <cell r="B563" t="str">
            <v>AEROPORTO PRÉ-PLANEJADO EM SEDE DE UTP</v>
          </cell>
          <cell r="C563" t="str">
            <v>SC-011_4210100</v>
          </cell>
          <cell r="D563" t="str">
            <v>MAFRA</v>
          </cell>
          <cell r="E563" t="str">
            <v>SC</v>
          </cell>
          <cell r="F563" t="str">
            <v>û</v>
          </cell>
        </row>
        <row r="564">
          <cell r="A564" t="str">
            <v>N339</v>
          </cell>
          <cell r="B564" t="str">
            <v>AEROPORTO PRÉ-PLANEJADO EM SEDE DE UTP</v>
          </cell>
          <cell r="C564" t="str">
            <v>SC-006_4207601</v>
          </cell>
          <cell r="D564" t="str">
            <v>IPIRA</v>
          </cell>
          <cell r="E564" t="str">
            <v>SC</v>
          </cell>
          <cell r="F564" t="str">
            <v>û</v>
          </cell>
        </row>
        <row r="565">
          <cell r="A565" t="str">
            <v>SNAE</v>
          </cell>
          <cell r="B565" t="str">
            <v>ARCOVERDE</v>
          </cell>
          <cell r="C565" t="str">
            <v>PE0007_2601201</v>
          </cell>
          <cell r="D565" t="str">
            <v>ARCOVERDE</v>
          </cell>
          <cell r="E565" t="str">
            <v>PE</v>
          </cell>
          <cell r="F565" t="str">
            <v>û</v>
          </cell>
        </row>
        <row r="566">
          <cell r="A566" t="str">
            <v>SDSC</v>
          </cell>
          <cell r="B566" t="str">
            <v>MÁRIO PEREIRA LOPES</v>
          </cell>
          <cell r="C566" t="str">
            <v>SP0029_3548906</v>
          </cell>
          <cell r="D566" t="str">
            <v>SÃO CARLOS</v>
          </cell>
          <cell r="E566" t="str">
            <v>SP</v>
          </cell>
          <cell r="F566" t="str">
            <v>û</v>
          </cell>
        </row>
        <row r="567">
          <cell r="A567" t="str">
            <v>SJAU</v>
          </cell>
          <cell r="B567" t="str">
            <v>ARAGUACEMA</v>
          </cell>
          <cell r="C567" t="str">
            <v>TO0007_1701903</v>
          </cell>
          <cell r="D567" t="str">
            <v>ARAGUACEMA</v>
          </cell>
          <cell r="E567" t="str">
            <v>TO</v>
          </cell>
          <cell r="F567" t="str">
            <v>û</v>
          </cell>
        </row>
        <row r="568">
          <cell r="A568" t="str">
            <v>SNRX</v>
          </cell>
          <cell r="B568" t="str">
            <v>RIACHÃO</v>
          </cell>
          <cell r="C568" t="str">
            <v>MA0009_2109502</v>
          </cell>
          <cell r="D568" t="str">
            <v>RIACHÃO</v>
          </cell>
          <cell r="E568" t="str">
            <v>MA</v>
          </cell>
          <cell r="F568" t="str">
            <v>û</v>
          </cell>
        </row>
        <row r="569">
          <cell r="A569" t="str">
            <v>SNIP</v>
          </cell>
          <cell r="B569" t="str">
            <v>ITAPETINGA</v>
          </cell>
          <cell r="C569" t="str">
            <v>BA0057_2916401</v>
          </cell>
          <cell r="D569" t="str">
            <v>ITAPETINGA</v>
          </cell>
          <cell r="E569" t="str">
            <v>BA</v>
          </cell>
          <cell r="F569" t="str">
            <v>û</v>
          </cell>
        </row>
        <row r="570">
          <cell r="A570" t="str">
            <v>SSNP</v>
          </cell>
          <cell r="B570" t="str">
            <v>ILMO ALOÍSIO BLUME</v>
          </cell>
          <cell r="C570" t="str">
            <v>RS0041_4313300</v>
          </cell>
          <cell r="D570" t="str">
            <v>NOVA PRATA</v>
          </cell>
          <cell r="E570" t="str">
            <v>RS</v>
          </cell>
          <cell r="F570" t="str">
            <v>û</v>
          </cell>
        </row>
        <row r="571">
          <cell r="A571" t="str">
            <v>N679</v>
          </cell>
          <cell r="B571" t="str">
            <v>AEROPORTO PRÉ-PLANEJADO EM SEDE DE UTP</v>
          </cell>
          <cell r="C571" t="str">
            <v>PR-003_4102406</v>
          </cell>
          <cell r="D571" t="str">
            <v>BANDEIRANTES</v>
          </cell>
          <cell r="E571" t="str">
            <v>PR</v>
          </cell>
          <cell r="F571" t="str">
            <v>û</v>
          </cell>
        </row>
        <row r="572">
          <cell r="A572" t="str">
            <v>SDUN</v>
          </cell>
          <cell r="B572" t="str">
            <v>ITAPERUNA</v>
          </cell>
          <cell r="C572" t="str">
            <v>RJ0008_3302205</v>
          </cell>
          <cell r="D572" t="str">
            <v>ITAPERUNA</v>
          </cell>
          <cell r="E572" t="str">
            <v>RJ</v>
          </cell>
          <cell r="F572" t="str">
            <v>û</v>
          </cell>
        </row>
        <row r="573">
          <cell r="A573" t="str">
            <v>N285</v>
          </cell>
          <cell r="B573" t="str">
            <v>AEROPORTO PRÉ-PLANEJADO EM SEDE DE UTP</v>
          </cell>
          <cell r="C573" t="str">
            <v>TO-010_1713205</v>
          </cell>
          <cell r="D573" t="str">
            <v>MIRACEMA DO TOCANTINS</v>
          </cell>
          <cell r="E573" t="str">
            <v>TO</v>
          </cell>
          <cell r="F573" t="str">
            <v>û</v>
          </cell>
        </row>
        <row r="574">
          <cell r="A574" t="str">
            <v>SDC9</v>
          </cell>
          <cell r="B574" t="str">
            <v>TOCANTINÓPOLIS</v>
          </cell>
          <cell r="C574" t="str">
            <v>TO0095_1721208</v>
          </cell>
          <cell r="D574" t="str">
            <v>TOCANTINÓPOLIS</v>
          </cell>
          <cell r="E574" t="str">
            <v>TO</v>
          </cell>
          <cell r="F574" t="str">
            <v>û</v>
          </cell>
        </row>
        <row r="575">
          <cell r="A575" t="str">
            <v>SNUB</v>
          </cell>
          <cell r="B575" t="str">
            <v>UBÁ</v>
          </cell>
          <cell r="C575" t="str">
            <v>MG0058_3169901</v>
          </cell>
          <cell r="D575" t="str">
            <v>UBÁ</v>
          </cell>
          <cell r="E575" t="str">
            <v>MG</v>
          </cell>
          <cell r="F575" t="str">
            <v>û</v>
          </cell>
        </row>
        <row r="576">
          <cell r="A576" t="str">
            <v>N291</v>
          </cell>
          <cell r="B576" t="str">
            <v>AEROPORTO PRÉ-PLANEJADO EM SEDE DE UTP</v>
          </cell>
          <cell r="C576" t="str">
            <v>CE-006_2307601</v>
          </cell>
          <cell r="D576" t="str">
            <v>LIMOEIRO DO NORTE</v>
          </cell>
          <cell r="E576" t="str">
            <v>CE</v>
          </cell>
          <cell r="F576" t="str">
            <v>û</v>
          </cell>
        </row>
        <row r="577">
          <cell r="A577" t="str">
            <v>SSCK</v>
          </cell>
          <cell r="B577" t="str">
            <v>OLAVO CECCO RIGON</v>
          </cell>
          <cell r="C577" t="str">
            <v>SC0010_4204301</v>
          </cell>
          <cell r="D577" t="str">
            <v>CONCÓRDIA</v>
          </cell>
          <cell r="E577" t="str">
            <v>SC</v>
          </cell>
          <cell r="F577" t="str">
            <v>û</v>
          </cell>
        </row>
        <row r="578">
          <cell r="A578" t="str">
            <v>N905</v>
          </cell>
          <cell r="B578" t="str">
            <v>AEROPORTO PRÉ-PLANEJADO EM SEDE DE UTP</v>
          </cell>
          <cell r="C578" t="str">
            <v>RN-005_2409332</v>
          </cell>
          <cell r="D578" t="str">
            <v>SANTA MARIA</v>
          </cell>
          <cell r="E578" t="str">
            <v>RN</v>
          </cell>
          <cell r="F578" t="str">
            <v>û</v>
          </cell>
        </row>
        <row r="579">
          <cell r="A579" t="str">
            <v>SBYA</v>
          </cell>
          <cell r="B579" t="str">
            <v>IAUARETÊ</v>
          </cell>
          <cell r="C579" t="str">
            <v>AM9005_1303809</v>
          </cell>
          <cell r="D579" t="str">
            <v>São Gabriel da Cachoeira</v>
          </cell>
          <cell r="E579" t="str">
            <v>AM</v>
          </cell>
          <cell r="F579" t="str">
            <v>û</v>
          </cell>
        </row>
        <row r="580">
          <cell r="A580" t="str">
            <v>SSMJ</v>
          </cell>
          <cell r="B580" t="str">
            <v>MARACAJU</v>
          </cell>
          <cell r="C580" t="str">
            <v>MS0020_5005400</v>
          </cell>
          <cell r="D580" t="str">
            <v>MARACAJU</v>
          </cell>
          <cell r="E580" t="str">
            <v>MS</v>
          </cell>
          <cell r="F580" t="str">
            <v>û</v>
          </cell>
        </row>
        <row r="581">
          <cell r="A581" t="str">
            <v>SWTO</v>
          </cell>
          <cell r="B581" t="str">
            <v>PARAÍSO DO TOCANTINS</v>
          </cell>
          <cell r="C581" t="str">
            <v>TO0008_1716109</v>
          </cell>
          <cell r="D581" t="str">
            <v>PARAÍSO DO TOCANTINS</v>
          </cell>
          <cell r="E581" t="str">
            <v>TO</v>
          </cell>
          <cell r="F581" t="str">
            <v>û</v>
          </cell>
        </row>
        <row r="582">
          <cell r="A582" t="str">
            <v>SSSD</v>
          </cell>
          <cell r="B582" t="str">
            <v>SOLEDADE</v>
          </cell>
          <cell r="C582" t="str">
            <v>RS0017_4320800</v>
          </cell>
          <cell r="D582" t="str">
            <v>SOLEDADE</v>
          </cell>
          <cell r="E582" t="str">
            <v>RS</v>
          </cell>
          <cell r="F582" t="str">
            <v>û</v>
          </cell>
        </row>
        <row r="583">
          <cell r="A583" t="str">
            <v>N215</v>
          </cell>
          <cell r="B583" t="str">
            <v>AEROPORTO PRÉ-PLANEJADO EM SEDE DE UTP</v>
          </cell>
          <cell r="C583" t="str">
            <v>PE-006_2607653</v>
          </cell>
          <cell r="D583" t="str">
            <v>ITAMBÉ</v>
          </cell>
          <cell r="E583" t="str">
            <v>PE</v>
          </cell>
          <cell r="F583" t="str">
            <v>û</v>
          </cell>
        </row>
        <row r="584">
          <cell r="A584" t="str">
            <v>N853</v>
          </cell>
          <cell r="B584" t="str">
            <v>AEROPORTO PRÉ-PLANEJADO EM SEDE DE UTP</v>
          </cell>
          <cell r="C584" t="str">
            <v>MA-019_2111805</v>
          </cell>
          <cell r="D584" t="str">
            <v>SÍTIO NOVO</v>
          </cell>
          <cell r="E584" t="str">
            <v>MA</v>
          </cell>
          <cell r="F584" t="str">
            <v>û</v>
          </cell>
        </row>
        <row r="585">
          <cell r="A585" t="str">
            <v>SD6P</v>
          </cell>
          <cell r="B585" t="str">
            <v>DE BELMONTE</v>
          </cell>
          <cell r="C585" t="str">
            <v>BA0041_2903409</v>
          </cell>
          <cell r="D585" t="str">
            <v>BELMONTE</v>
          </cell>
          <cell r="E585" t="str">
            <v>BA</v>
          </cell>
          <cell r="F585" t="str">
            <v>û</v>
          </cell>
        </row>
        <row r="586">
          <cell r="A586" t="str">
            <v>N597</v>
          </cell>
          <cell r="B586" t="str">
            <v>AEROPORTO PRÉ-PLANEJADO EM SEDE DE UTP</v>
          </cell>
          <cell r="C586" t="str">
            <v>TO-004_1705508</v>
          </cell>
          <cell r="D586" t="str">
            <v>COLINAS DO TOCANTINS</v>
          </cell>
          <cell r="E586" t="str">
            <v>TO</v>
          </cell>
          <cell r="F586" t="str">
            <v>û</v>
          </cell>
        </row>
        <row r="587">
          <cell r="A587" t="str">
            <v>N228</v>
          </cell>
          <cell r="B587" t="str">
            <v>AEROPORTO PRÉ-PLANEJADO EM SEDE DE UTP</v>
          </cell>
          <cell r="C587" t="str">
            <v>MT-003_5104807</v>
          </cell>
          <cell r="D587" t="str">
            <v>JACIARA</v>
          </cell>
          <cell r="E587" t="str">
            <v>MT</v>
          </cell>
          <cell r="F587" t="str">
            <v>û</v>
          </cell>
        </row>
        <row r="588">
          <cell r="A588" t="str">
            <v>SSIJ</v>
          </cell>
          <cell r="B588" t="str">
            <v>IJUÍ</v>
          </cell>
          <cell r="C588" t="str">
            <v>RS0032_4310207</v>
          </cell>
          <cell r="D588" t="str">
            <v>IJUÍ</v>
          </cell>
          <cell r="E588" t="str">
            <v>RS</v>
          </cell>
          <cell r="F588" t="str">
            <v>û</v>
          </cell>
        </row>
        <row r="589">
          <cell r="A589" t="str">
            <v>SSSZ</v>
          </cell>
          <cell r="B589" t="str">
            <v>SERTANÓPOLIS</v>
          </cell>
          <cell r="C589" t="str">
            <v>PR0033_4126504</v>
          </cell>
          <cell r="D589" t="str">
            <v>SERTANÓPOLIS</v>
          </cell>
          <cell r="E589" t="str">
            <v>PR</v>
          </cell>
          <cell r="F589" t="str">
            <v>û</v>
          </cell>
        </row>
        <row r="590">
          <cell r="A590" t="str">
            <v>N220</v>
          </cell>
          <cell r="B590" t="str">
            <v>AEROPORTO PRÉ-PLANEJADO EM SEDE DE UTP</v>
          </cell>
          <cell r="C590" t="str">
            <v>SC-008_4208401</v>
          </cell>
          <cell r="D590" t="str">
            <v>ITAPIRANGA</v>
          </cell>
          <cell r="E590" t="str">
            <v>SC</v>
          </cell>
          <cell r="F590" t="str">
            <v>û</v>
          </cell>
        </row>
        <row r="591">
          <cell r="A591" t="str">
            <v>N477</v>
          </cell>
          <cell r="B591" t="str">
            <v>AEROPORTO PRÉ-PLANEJADO EM SEDE DE UTP</v>
          </cell>
          <cell r="C591" t="str">
            <v>RS-031_4322608</v>
          </cell>
          <cell r="D591" t="str">
            <v>VENÂNCIO AIRES</v>
          </cell>
          <cell r="E591" t="str">
            <v>RS</v>
          </cell>
          <cell r="F591" t="str">
            <v>û</v>
          </cell>
        </row>
        <row r="592">
          <cell r="A592" t="str">
            <v>N017</v>
          </cell>
          <cell r="B592" t="str">
            <v>AEROPORTO PRÉ-PLANEJADO EM SEDE DE UTP</v>
          </cell>
          <cell r="C592" t="str">
            <v>PI-002_2200608</v>
          </cell>
          <cell r="D592" t="str">
            <v>ANGICAL DO PIAUÍ</v>
          </cell>
          <cell r="E592" t="str">
            <v>PI</v>
          </cell>
          <cell r="F592" t="str">
            <v>û</v>
          </cell>
        </row>
        <row r="593">
          <cell r="A593" t="str">
            <v>SNVB</v>
          </cell>
          <cell r="B593" t="str">
            <v>VALENÇA</v>
          </cell>
          <cell r="C593" t="str">
            <v>BA0008_2932903</v>
          </cell>
          <cell r="D593" t="str">
            <v>VALENÇA</v>
          </cell>
          <cell r="E593" t="str">
            <v>BA</v>
          </cell>
          <cell r="F593" t="str">
            <v>û</v>
          </cell>
        </row>
        <row r="594">
          <cell r="A594" t="str">
            <v>N585</v>
          </cell>
          <cell r="B594" t="str">
            <v>AEROPORTO PRÉ-PLANEJADO EM SEDE DE UTP</v>
          </cell>
          <cell r="C594" t="str">
            <v>MT-002_5103007</v>
          </cell>
          <cell r="D594" t="str">
            <v>CHAPADA DOS GUIMARÃES</v>
          </cell>
          <cell r="E594" t="str">
            <v>MT</v>
          </cell>
          <cell r="F594" t="str">
            <v>û</v>
          </cell>
        </row>
        <row r="595">
          <cell r="A595" t="str">
            <v>N297</v>
          </cell>
          <cell r="B595" t="str">
            <v>AEROPORTO PRÉ-PLANEJADO EM SEDE DE UTP</v>
          </cell>
          <cell r="C595" t="str">
            <v>PR-008_4117107</v>
          </cell>
          <cell r="D595" t="str">
            <v>NOVA LONDRINA</v>
          </cell>
          <cell r="E595" t="str">
            <v>PR</v>
          </cell>
          <cell r="F595" t="str">
            <v>û</v>
          </cell>
        </row>
        <row r="596">
          <cell r="A596" t="str">
            <v>N770</v>
          </cell>
          <cell r="B596" t="str">
            <v>AEROPORTO PRÉ-PLANEJADO EM SEDE DE UTP</v>
          </cell>
          <cell r="C596" t="str">
            <v>RS-012_4309407</v>
          </cell>
          <cell r="D596" t="str">
            <v>GUAPORÉ</v>
          </cell>
          <cell r="E596" t="str">
            <v>RS</v>
          </cell>
          <cell r="F596" t="str">
            <v>û</v>
          </cell>
        </row>
        <row r="597">
          <cell r="A597" t="str">
            <v>N738</v>
          </cell>
          <cell r="B597" t="str">
            <v>AEROPORTO PRÉ-PLANEJADO EM SEDE DE UTP</v>
          </cell>
          <cell r="C597" t="str">
            <v>BA-020_2923035</v>
          </cell>
          <cell r="D597" t="str">
            <v>NOVO HORIZONTE</v>
          </cell>
          <cell r="E597" t="str">
            <v>BA</v>
          </cell>
          <cell r="F597" t="str">
            <v>û</v>
          </cell>
        </row>
        <row r="598">
          <cell r="A598" t="str">
            <v>SD9C</v>
          </cell>
          <cell r="B598" t="str">
            <v>BENJAMIN DE MOURA LEAL</v>
          </cell>
          <cell r="C598" t="str">
            <v>PI0065_2210003</v>
          </cell>
          <cell r="D598" t="str">
            <v>SÃO JOÃO DO PIAUÍ</v>
          </cell>
          <cell r="E598" t="str">
            <v>PI</v>
          </cell>
          <cell r="F598" t="str">
            <v>û</v>
          </cell>
        </row>
        <row r="599">
          <cell r="A599" t="str">
            <v>SWDM</v>
          </cell>
          <cell r="B599" t="str">
            <v>DIAMANTINO</v>
          </cell>
          <cell r="C599" t="str">
            <v>MT0015_5103502</v>
          </cell>
          <cell r="D599" t="str">
            <v>DIAMANTINO</v>
          </cell>
          <cell r="E599" t="str">
            <v>MT</v>
          </cell>
          <cell r="F599" t="str">
            <v>û</v>
          </cell>
        </row>
        <row r="600">
          <cell r="A600" t="str">
            <v>N438</v>
          </cell>
          <cell r="B600" t="str">
            <v>AEROPORTO PRÉ-PLANEJADO EM SEDE DE UTP</v>
          </cell>
          <cell r="C600" t="str">
            <v>RS-029_4321329</v>
          </cell>
          <cell r="D600" t="str">
            <v>TAQUARUÇU DO SUL</v>
          </cell>
          <cell r="E600" t="str">
            <v>RS</v>
          </cell>
          <cell r="F600" t="str">
            <v>û</v>
          </cell>
        </row>
        <row r="601">
          <cell r="A601" t="str">
            <v>SDTP</v>
          </cell>
          <cell r="B601" t="str">
            <v>JOSÉ VICENTE FARIA LIMA</v>
          </cell>
          <cell r="C601" t="str">
            <v>SP0025_3555000</v>
          </cell>
          <cell r="D601" t="str">
            <v>TUPÃ</v>
          </cell>
          <cell r="E601" t="str">
            <v>SP</v>
          </cell>
          <cell r="F601" t="str">
            <v>û</v>
          </cell>
        </row>
        <row r="602">
          <cell r="A602" t="str">
            <v>N405</v>
          </cell>
          <cell r="B602" t="str">
            <v>AEROPORTO PRÉ-PLANEJADO EM SEDE DE UTP</v>
          </cell>
          <cell r="C602" t="str">
            <v>SC-015_4216008</v>
          </cell>
          <cell r="D602" t="str">
            <v>SÃO CARLOS</v>
          </cell>
          <cell r="E602" t="str">
            <v>SC</v>
          </cell>
          <cell r="F602" t="str">
            <v>û</v>
          </cell>
        </row>
        <row r="603">
          <cell r="A603" t="str">
            <v>N544</v>
          </cell>
          <cell r="B603" t="str">
            <v>AEROPORTO PRÉ-PLANEJADO EM SEDE DE UTP</v>
          </cell>
          <cell r="C603" t="str">
            <v>MA-004_2102325</v>
          </cell>
          <cell r="D603" t="str">
            <v>BURITICUPU</v>
          </cell>
          <cell r="E603" t="str">
            <v>MA</v>
          </cell>
          <cell r="F603" t="str">
            <v>û</v>
          </cell>
        </row>
        <row r="604">
          <cell r="A604" t="str">
            <v>N322</v>
          </cell>
          <cell r="B604" t="str">
            <v>AEROPORTO PRÉ-PLANEJADO EM SEDE DE UTP</v>
          </cell>
          <cell r="C604" t="str">
            <v>RJ-016_3303856</v>
          </cell>
          <cell r="D604" t="str">
            <v>PATY DO ALFERES</v>
          </cell>
          <cell r="E604" t="str">
            <v>RJ</v>
          </cell>
          <cell r="F604" t="str">
            <v>û</v>
          </cell>
        </row>
        <row r="605">
          <cell r="A605" t="str">
            <v>N107</v>
          </cell>
          <cell r="B605" t="str">
            <v>AEROPORTO PRÉ-PLANEJADO EM SEDE DE UTP</v>
          </cell>
          <cell r="C605" t="str">
            <v>SP-007_3510401</v>
          </cell>
          <cell r="D605" t="str">
            <v>CAPIVARI</v>
          </cell>
          <cell r="E605" t="str">
            <v>SP</v>
          </cell>
          <cell r="F605" t="str">
            <v>û</v>
          </cell>
        </row>
        <row r="606">
          <cell r="A606" t="str">
            <v>N633</v>
          </cell>
          <cell r="B606" t="str">
            <v>AEROPORTO PRÉ-PLANEJADO EM SEDE DE UTP</v>
          </cell>
          <cell r="C606" t="str">
            <v>MA-012_2104107</v>
          </cell>
          <cell r="D606" t="str">
            <v>FORTALEZA DOS NOGUEIRAS</v>
          </cell>
          <cell r="E606" t="str">
            <v>MA</v>
          </cell>
          <cell r="F606" t="str">
            <v>û</v>
          </cell>
        </row>
        <row r="607">
          <cell r="A607" t="str">
            <v>SNAR</v>
          </cell>
          <cell r="B607" t="str">
            <v>CIRILO QUEIRÓZ</v>
          </cell>
          <cell r="C607" t="str">
            <v>MG0033_3101706</v>
          </cell>
          <cell r="D607" t="str">
            <v>ALMENARA</v>
          </cell>
          <cell r="E607" t="str">
            <v>MG</v>
          </cell>
          <cell r="F607" t="str">
            <v>û</v>
          </cell>
        </row>
        <row r="608">
          <cell r="A608" t="str">
            <v>N279</v>
          </cell>
          <cell r="B608" t="str">
            <v>AEROPORTO PRÉ-PLANEJADO FORA DE SEDE DE UTP</v>
          </cell>
          <cell r="C608" t="str">
            <v>PE-007_2609907</v>
          </cell>
          <cell r="D608" t="str">
            <v>OURICURI</v>
          </cell>
          <cell r="E608" t="str">
            <v>PE</v>
          </cell>
          <cell r="F608" t="str">
            <v>û</v>
          </cell>
        </row>
        <row r="609">
          <cell r="A609" t="str">
            <v>SSXD</v>
          </cell>
          <cell r="B609" t="str">
            <v>TOBIAS BACCI</v>
          </cell>
          <cell r="C609" t="str">
            <v>RS0026_4320107</v>
          </cell>
          <cell r="D609" t="str">
            <v>SARANDI</v>
          </cell>
          <cell r="E609" t="str">
            <v>RS</v>
          </cell>
          <cell r="F609" t="str">
            <v>û</v>
          </cell>
        </row>
        <row r="610">
          <cell r="A610" t="str">
            <v>N829</v>
          </cell>
          <cell r="B610" t="str">
            <v>AEROPORTO PRÉ-PLANEJADO EM SEDE DE UTP</v>
          </cell>
          <cell r="C610" t="str">
            <v>BA-028_2929255</v>
          </cell>
          <cell r="D610" t="str">
            <v>SÃO GABRIEL</v>
          </cell>
          <cell r="E610" t="str">
            <v>BA</v>
          </cell>
          <cell r="F610" t="str">
            <v>û</v>
          </cell>
        </row>
        <row r="611">
          <cell r="A611" t="str">
            <v>SDNM</v>
          </cell>
          <cell r="B611" t="str">
            <v>BRIGADEIRO EDUARDO GOMES</v>
          </cell>
          <cell r="C611" t="str">
            <v>MT0047_5106224</v>
          </cell>
          <cell r="D611" t="str">
            <v>NOVA MUTUM</v>
          </cell>
          <cell r="E611" t="str">
            <v>MT</v>
          </cell>
          <cell r="F611" t="str">
            <v>û</v>
          </cell>
        </row>
        <row r="612">
          <cell r="A612" t="str">
            <v>N779</v>
          </cell>
          <cell r="B612" t="str">
            <v>AEROPORTO PRÉ-PLANEJADO EM SEDE DE UTP</v>
          </cell>
          <cell r="C612" t="str">
            <v>RS-016_4312708</v>
          </cell>
          <cell r="D612" t="str">
            <v>NONOAI</v>
          </cell>
          <cell r="E612" t="str">
            <v>RS</v>
          </cell>
          <cell r="F612" t="str">
            <v>û</v>
          </cell>
        </row>
        <row r="613">
          <cell r="A613" t="str">
            <v>SSCR</v>
          </cell>
          <cell r="B613" t="str">
            <v>BALDUINO HELMUTH JOPE</v>
          </cell>
          <cell r="C613" t="str">
            <v>PR0016_4114609</v>
          </cell>
          <cell r="D613" t="str">
            <v>MARECHAL CÂNDIDO RONDON</v>
          </cell>
          <cell r="E613" t="str">
            <v>PR</v>
          </cell>
          <cell r="F613" t="str">
            <v>û</v>
          </cell>
        </row>
        <row r="614">
          <cell r="A614" t="str">
            <v>SILC</v>
          </cell>
          <cell r="B614" t="str">
            <v xml:space="preserve">AEROPORTO MUNICIPAL BOM FUTURO </v>
          </cell>
          <cell r="C614" t="str">
            <v>MT0025_5105259</v>
          </cell>
          <cell r="D614" t="str">
            <v>LUCAS DO RIO VERDE</v>
          </cell>
          <cell r="E614" t="str">
            <v>MT</v>
          </cell>
          <cell r="F614" t="str">
            <v>û</v>
          </cell>
        </row>
        <row r="615">
          <cell r="A615" t="str">
            <v>SNIO</v>
          </cell>
          <cell r="B615" t="str">
            <v>CIPÓ</v>
          </cell>
          <cell r="C615" t="str">
            <v>BA0010_2907905</v>
          </cell>
          <cell r="D615" t="str">
            <v>CIPÓ</v>
          </cell>
          <cell r="E615" t="str">
            <v>BA</v>
          </cell>
          <cell r="F615" t="str">
            <v>û</v>
          </cell>
        </row>
        <row r="616">
          <cell r="A616" t="str">
            <v>SSNB</v>
          </cell>
          <cell r="B616" t="str">
            <v>ARIOSTO DA RIVA</v>
          </cell>
          <cell r="C616" t="str">
            <v>MS0015_5005707</v>
          </cell>
          <cell r="D616" t="str">
            <v>NAVIRAÍ</v>
          </cell>
          <cell r="E616" t="str">
            <v>MS</v>
          </cell>
          <cell r="F616" t="str">
            <v>û</v>
          </cell>
        </row>
        <row r="617">
          <cell r="A617" t="str">
            <v>N446</v>
          </cell>
          <cell r="B617" t="str">
            <v>AEROPORTO PRÉ-PLANEJADO EM SEDE DE UTP</v>
          </cell>
          <cell r="C617" t="str">
            <v>RS-030_4321451</v>
          </cell>
          <cell r="D617" t="str">
            <v>TEUTÔNIA</v>
          </cell>
          <cell r="E617" t="str">
            <v>RS</v>
          </cell>
          <cell r="F617" t="str">
            <v>û</v>
          </cell>
        </row>
        <row r="618">
          <cell r="A618" t="str">
            <v>N328</v>
          </cell>
          <cell r="B618" t="str">
            <v>AEROPORTO PRÉ-PLANEJADO EM SEDE DE UTP</v>
          </cell>
          <cell r="C618" t="str">
            <v>RS-017_4314209</v>
          </cell>
          <cell r="D618" t="str">
            <v>PEDRO OSÓRIO</v>
          </cell>
          <cell r="E618" t="str">
            <v>RS</v>
          </cell>
          <cell r="F618" t="str">
            <v>û</v>
          </cell>
        </row>
        <row r="619">
          <cell r="A619" t="str">
            <v>N327</v>
          </cell>
          <cell r="B619" t="str">
            <v>AEROPORTO PRÉ-PLANEJADO EM SEDE DE UTP</v>
          </cell>
          <cell r="C619" t="str">
            <v>TO-006_1709302</v>
          </cell>
          <cell r="D619" t="str">
            <v>GUARAÍ</v>
          </cell>
          <cell r="E619" t="str">
            <v>TO</v>
          </cell>
          <cell r="F619" t="str">
            <v>û</v>
          </cell>
        </row>
        <row r="620">
          <cell r="A620" t="str">
            <v>SNBM</v>
          </cell>
          <cell r="B620" t="str">
            <v>CRISTIANO FERREIRA VARELLA</v>
          </cell>
          <cell r="C620" t="str">
            <v>MG0051_3143906</v>
          </cell>
          <cell r="D620" t="str">
            <v>MURIAÉ</v>
          </cell>
          <cell r="E620" t="str">
            <v>MG</v>
          </cell>
          <cell r="F620" t="str">
            <v>û</v>
          </cell>
        </row>
        <row r="621">
          <cell r="A621" t="str">
            <v>N673</v>
          </cell>
          <cell r="B621" t="str">
            <v>AEROPORTO PRÉ-PLANEJADO EM SEDE DE UTP</v>
          </cell>
          <cell r="C621" t="str">
            <v>CE-005_2306900</v>
          </cell>
          <cell r="D621" t="str">
            <v>JAGUARIBE</v>
          </cell>
          <cell r="E621" t="str">
            <v>CE</v>
          </cell>
          <cell r="F621" t="str">
            <v>û</v>
          </cell>
        </row>
        <row r="622">
          <cell r="A622" t="str">
            <v>SNQU</v>
          </cell>
          <cell r="B622" t="str">
            <v>MUCUGÊ</v>
          </cell>
          <cell r="C622" t="str">
            <v>BA0032_2921906</v>
          </cell>
          <cell r="D622" t="str">
            <v>MUCUGÊ</v>
          </cell>
          <cell r="E622" t="str">
            <v>BA</v>
          </cell>
          <cell r="F622" t="str">
            <v>û</v>
          </cell>
        </row>
        <row r="623">
          <cell r="A623" t="str">
            <v>N471</v>
          </cell>
          <cell r="B623" t="str">
            <v>AEROPORTO PRÉ-PLANEJADO EM SEDE DE UTP</v>
          </cell>
          <cell r="C623" t="str">
            <v>SP-026_3556305</v>
          </cell>
          <cell r="D623" t="str">
            <v>VALPARAÍSO</v>
          </cell>
          <cell r="E623" t="str">
            <v>SP</v>
          </cell>
          <cell r="F623" t="str">
            <v>û</v>
          </cell>
        </row>
        <row r="624">
          <cell r="A624" t="str">
            <v>SNBZ</v>
          </cell>
          <cell r="B624" t="str">
            <v>PARAMIRIM</v>
          </cell>
          <cell r="C624" t="str">
            <v>BA0042_2923605</v>
          </cell>
          <cell r="D624" t="str">
            <v>PARAMIRIM</v>
          </cell>
          <cell r="E624" t="str">
            <v>BA</v>
          </cell>
          <cell r="F624" t="str">
            <v>û</v>
          </cell>
        </row>
        <row r="625">
          <cell r="A625" t="str">
            <v>N133</v>
          </cell>
          <cell r="B625" t="str">
            <v>AEROPORTO PRÉ-PLANEJADO FORA DE SEDE DE UTP</v>
          </cell>
          <cell r="C625" t="str">
            <v>PA-021_1507904</v>
          </cell>
          <cell r="D625" t="str">
            <v>SOURE</v>
          </cell>
          <cell r="E625" t="str">
            <v>PA</v>
          </cell>
          <cell r="F625" t="str">
            <v>û</v>
          </cell>
        </row>
        <row r="626">
          <cell r="A626" t="str">
            <v>N319</v>
          </cell>
          <cell r="B626" t="str">
            <v>AEROPORTO PRÉ-PLANEJADO EM SEDE DE UTP</v>
          </cell>
          <cell r="C626" t="str">
            <v>BA-008_2906907</v>
          </cell>
          <cell r="D626" t="str">
            <v>CARAVELAS</v>
          </cell>
          <cell r="E626" t="str">
            <v>BA</v>
          </cell>
          <cell r="F626" t="str">
            <v>û</v>
          </cell>
        </row>
        <row r="627">
          <cell r="A627" t="str">
            <v>N174</v>
          </cell>
          <cell r="B627" t="str">
            <v>AEROPORTO PRÉ-PLANEJADO EM SEDE DE UTP</v>
          </cell>
          <cell r="C627" t="str">
            <v>SP-011_3520301</v>
          </cell>
          <cell r="D627" t="str">
            <v>IGUAPE</v>
          </cell>
          <cell r="E627" t="str">
            <v>SP</v>
          </cell>
          <cell r="F627" t="str">
            <v>û</v>
          </cell>
        </row>
        <row r="628">
          <cell r="A628" t="str">
            <v>SNCX</v>
          </cell>
          <cell r="B628" t="str">
            <v>COLATINA</v>
          </cell>
          <cell r="C628" t="str">
            <v>ES0004_3201506</v>
          </cell>
          <cell r="D628" t="str">
            <v>COLATINA</v>
          </cell>
          <cell r="E628" t="str">
            <v>ES</v>
          </cell>
          <cell r="F628" t="str">
            <v>û</v>
          </cell>
        </row>
        <row r="629">
          <cell r="A629" t="str">
            <v>SBCI</v>
          </cell>
          <cell r="B629" t="str">
            <v>BRIGADEIRO LYSIAS AUGUSTO RODRIGUES</v>
          </cell>
          <cell r="C629" t="str">
            <v>MA0003_2102804</v>
          </cell>
          <cell r="D629" t="str">
            <v>CAROLINA</v>
          </cell>
          <cell r="E629" t="str">
            <v>MA</v>
          </cell>
          <cell r="F629" t="str">
            <v>û</v>
          </cell>
        </row>
        <row r="630">
          <cell r="A630" t="str">
            <v>SJVO</v>
          </cell>
          <cell r="B630" t="str">
            <v>ARAGARÇAS</v>
          </cell>
          <cell r="C630" t="str">
            <v>GO0030_5201702</v>
          </cell>
          <cell r="D630" t="str">
            <v>ARAGARÇAS</v>
          </cell>
          <cell r="E630" t="str">
            <v>GO</v>
          </cell>
          <cell r="F630" t="str">
            <v>û</v>
          </cell>
        </row>
        <row r="631">
          <cell r="A631" t="str">
            <v>SNED</v>
          </cell>
          <cell r="B631" t="str">
            <v>SÓCRATES REZENDE</v>
          </cell>
          <cell r="C631" t="str">
            <v>BA0023_2906303</v>
          </cell>
          <cell r="D631" t="str">
            <v>CANAVIEIRAS</v>
          </cell>
          <cell r="E631" t="str">
            <v>BA</v>
          </cell>
          <cell r="F631" t="str">
            <v>û</v>
          </cell>
        </row>
        <row r="632">
          <cell r="A632" t="str">
            <v>SNCT</v>
          </cell>
          <cell r="B632" t="str">
            <v>CARATINGA</v>
          </cell>
          <cell r="C632" t="str">
            <v>MG0056_3170057</v>
          </cell>
          <cell r="D632" t="str">
            <v>UBAPORANGA</v>
          </cell>
          <cell r="E632" t="str">
            <v>MG</v>
          </cell>
          <cell r="F632" t="str">
            <v>û</v>
          </cell>
        </row>
        <row r="633">
          <cell r="A633" t="str">
            <v>N135</v>
          </cell>
          <cell r="B633" t="str">
            <v>AEROPORTO PRÉ-PLANEJADO EM SEDE DE UTP</v>
          </cell>
          <cell r="C633" t="str">
            <v>RJ-011_3301504</v>
          </cell>
          <cell r="D633" t="str">
            <v>CORDEIRO</v>
          </cell>
          <cell r="E633" t="str">
            <v>RJ</v>
          </cell>
          <cell r="F633" t="str">
            <v>û</v>
          </cell>
        </row>
        <row r="634">
          <cell r="A634" t="str">
            <v>N524</v>
          </cell>
          <cell r="B634" t="str">
            <v>AEROPORTO PRÉ-PLANEJADO EM SEDE DE UTP</v>
          </cell>
          <cell r="C634" t="str">
            <v>MG-038_3167103</v>
          </cell>
          <cell r="D634" t="str">
            <v>SERRO</v>
          </cell>
          <cell r="E634" t="str">
            <v>MG</v>
          </cell>
          <cell r="F634" t="str">
            <v>û</v>
          </cell>
        </row>
        <row r="635">
          <cell r="A635" t="str">
            <v>N157</v>
          </cell>
          <cell r="B635" t="str">
            <v>AEROPORTO PRÉ-PLANEJADO EM SEDE DE UTP</v>
          </cell>
          <cell r="C635" t="str">
            <v>MA-001_2100501</v>
          </cell>
          <cell r="D635" t="str">
            <v>ALTO PARNAÍBA</v>
          </cell>
          <cell r="E635" t="str">
            <v>MA</v>
          </cell>
          <cell r="F635" t="str">
            <v>û</v>
          </cell>
        </row>
        <row r="636">
          <cell r="A636" t="str">
            <v>SSRU</v>
          </cell>
          <cell r="B636" t="str">
            <v>SÃO LOURENÇO DO SUL</v>
          </cell>
          <cell r="C636" t="str">
            <v>RS0034_4318804</v>
          </cell>
          <cell r="D636" t="str">
            <v>SÃO LOURENÇO DO SUL</v>
          </cell>
          <cell r="E636" t="str">
            <v>RS</v>
          </cell>
          <cell r="F636" t="str">
            <v>û</v>
          </cell>
        </row>
        <row r="637">
          <cell r="A637" t="str">
            <v>SNJQ</v>
          </cell>
          <cell r="B637" t="str">
            <v>JEQUITINHONHA</v>
          </cell>
          <cell r="C637" t="str">
            <v>MG0053_3135803</v>
          </cell>
          <cell r="D637" t="str">
            <v>JEQUITINHONHA</v>
          </cell>
          <cell r="E637" t="str">
            <v>MG</v>
          </cell>
          <cell r="F637" t="str">
            <v>û</v>
          </cell>
        </row>
        <row r="638">
          <cell r="A638" t="str">
            <v>SSOE</v>
          </cell>
          <cell r="B638" t="str">
            <v>HÉLIO WASUM</v>
          </cell>
          <cell r="C638" t="str">
            <v>SC0015_4217204</v>
          </cell>
          <cell r="D638" t="str">
            <v>SÃO MIGUEL DO OESTE</v>
          </cell>
          <cell r="E638" t="str">
            <v>SC</v>
          </cell>
          <cell r="F638" t="str">
            <v>û</v>
          </cell>
        </row>
        <row r="639">
          <cell r="A639" t="str">
            <v>N338</v>
          </cell>
          <cell r="B639" t="str">
            <v>AEROPORTO PRÉ-PLANEJADO EM SEDE DE UTP</v>
          </cell>
          <cell r="C639" t="str">
            <v>SP-021_3539202</v>
          </cell>
          <cell r="D639" t="str">
            <v>PIRAPOZINHO</v>
          </cell>
          <cell r="E639" t="str">
            <v>SP</v>
          </cell>
          <cell r="F639" t="str">
            <v>û</v>
          </cell>
        </row>
        <row r="640">
          <cell r="A640" t="str">
            <v>N244</v>
          </cell>
          <cell r="B640" t="str">
            <v>AEROPORTO PRÉ-PLANEJADO FORA DE SEDE DE UTP</v>
          </cell>
          <cell r="C640" t="str">
            <v>RN-001_2400208</v>
          </cell>
          <cell r="D640" t="str">
            <v>AÇU</v>
          </cell>
          <cell r="E640" t="str">
            <v>RN</v>
          </cell>
          <cell r="F640" t="str">
            <v>û</v>
          </cell>
        </row>
        <row r="641">
          <cell r="A641" t="str">
            <v>N749</v>
          </cell>
          <cell r="B641" t="str">
            <v>AEROPORTO PRÉ-PLANEJADO FORA DE SEDE DE UTP</v>
          </cell>
          <cell r="C641" t="str">
            <v>RS-003_4302303</v>
          </cell>
          <cell r="D641" t="str">
            <v>BOM JESUS</v>
          </cell>
          <cell r="E641" t="str">
            <v>RS</v>
          </cell>
          <cell r="F641" t="str">
            <v>û</v>
          </cell>
        </row>
        <row r="642">
          <cell r="A642" t="str">
            <v>N085</v>
          </cell>
          <cell r="B642" t="str">
            <v>AEROPORTO PRÉ-PLANEJADO EM SEDE DE UTP</v>
          </cell>
          <cell r="C642" t="str">
            <v>BA-005_2904902</v>
          </cell>
          <cell r="D642" t="str">
            <v>CACHOEIRA</v>
          </cell>
          <cell r="E642" t="str">
            <v>BA</v>
          </cell>
          <cell r="F642" t="str">
            <v>û</v>
          </cell>
        </row>
        <row r="643">
          <cell r="A643" t="str">
            <v>N419</v>
          </cell>
          <cell r="B643" t="str">
            <v>AEROPORTO PRÉ-PLANEJADO FORA DE SEDE DE UTP</v>
          </cell>
          <cell r="C643" t="str">
            <v>ES-001_3203908</v>
          </cell>
          <cell r="D643" t="str">
            <v>NOVA VENÉCIA</v>
          </cell>
          <cell r="E643" t="str">
            <v>ES</v>
          </cell>
          <cell r="F643" t="str">
            <v>û</v>
          </cell>
        </row>
        <row r="644">
          <cell r="A644" t="str">
            <v>SN3Y</v>
          </cell>
          <cell r="B644" t="str">
            <v>NOVO AEROPORTO DE BOM JESUS DA LAPA</v>
          </cell>
          <cell r="C644" t="str">
            <v>BA0251_2903904</v>
          </cell>
          <cell r="D644" t="str">
            <v>BOM JESUS DA LAPA</v>
          </cell>
          <cell r="E644" t="str">
            <v>BA</v>
          </cell>
          <cell r="F644" t="str">
            <v>û</v>
          </cell>
        </row>
        <row r="645">
          <cell r="A645" t="str">
            <v>SNJK</v>
          </cell>
          <cell r="B645" t="str">
            <v>JEQUIÉ</v>
          </cell>
          <cell r="C645" t="str">
            <v>BA0047_2918001</v>
          </cell>
          <cell r="D645" t="str">
            <v>JEQUIÉ</v>
          </cell>
          <cell r="E645" t="str">
            <v>BA</v>
          </cell>
          <cell r="F645" t="str">
            <v>û</v>
          </cell>
        </row>
        <row r="646">
          <cell r="A646" t="str">
            <v>SSFB</v>
          </cell>
          <cell r="B646" t="str">
            <v>PAULO ABDALA</v>
          </cell>
          <cell r="C646" t="str">
            <v>PR0021_4108403</v>
          </cell>
          <cell r="D646" t="str">
            <v>FRANCISCO BELTRÃO</v>
          </cell>
          <cell r="E646" t="str">
            <v>PR</v>
          </cell>
          <cell r="F646" t="str">
            <v>û</v>
          </cell>
        </row>
        <row r="647">
          <cell r="A647" t="str">
            <v>SSEE</v>
          </cell>
          <cell r="B647" t="str">
            <v>REGIONAL DO VALE DO TAQUARI</v>
          </cell>
          <cell r="C647" t="str">
            <v>RS0054_4307807</v>
          </cell>
          <cell r="D647" t="str">
            <v>ESTRELA</v>
          </cell>
          <cell r="E647" t="str">
            <v>RS</v>
          </cell>
          <cell r="F647" t="str">
            <v>û</v>
          </cell>
        </row>
        <row r="648">
          <cell r="A648" t="str">
            <v>SSRE</v>
          </cell>
          <cell r="B648" t="str">
            <v>REALEZA</v>
          </cell>
          <cell r="C648" t="str">
            <v>PR0030_4121406</v>
          </cell>
          <cell r="D648" t="str">
            <v>REALEZA</v>
          </cell>
          <cell r="E648" t="str">
            <v>PR</v>
          </cell>
          <cell r="F648" t="str">
            <v>û</v>
          </cell>
        </row>
        <row r="649">
          <cell r="A649" t="str">
            <v>SNYT</v>
          </cell>
          <cell r="B649" t="str">
            <v>ITUAÇU</v>
          </cell>
          <cell r="C649" t="str">
            <v>BA0014_2917201</v>
          </cell>
          <cell r="D649" t="str">
            <v>ITUAÇU</v>
          </cell>
          <cell r="E649" t="str">
            <v>BA</v>
          </cell>
          <cell r="F649" t="str">
            <v>û</v>
          </cell>
        </row>
        <row r="650">
          <cell r="A650" t="str">
            <v>N120</v>
          </cell>
          <cell r="B650" t="str">
            <v>AEROPORTO PRÉ-PLANEJADO EM SEDE DE UTP</v>
          </cell>
          <cell r="C650" t="str">
            <v>MA-006_2103000</v>
          </cell>
          <cell r="D650" t="str">
            <v>CAXIAS</v>
          </cell>
          <cell r="E650" t="str">
            <v>MA</v>
          </cell>
          <cell r="F650" t="str">
            <v>û</v>
          </cell>
        </row>
        <row r="651">
          <cell r="A651" t="str">
            <v>SSXX</v>
          </cell>
          <cell r="B651" t="str">
            <v>MUNICIPAL JOÃO WINCKLER</v>
          </cell>
          <cell r="C651" t="str">
            <v>SC0017_4219507</v>
          </cell>
          <cell r="D651" t="str">
            <v>XANXERÊ</v>
          </cell>
          <cell r="E651" t="str">
            <v>SC</v>
          </cell>
          <cell r="F651" t="str">
            <v>û</v>
          </cell>
        </row>
        <row r="652">
          <cell r="A652" t="str">
            <v>N018</v>
          </cell>
          <cell r="B652" t="str">
            <v>AEROPORTO PRÉ-PLANEJADO EM SEDE DE UTP</v>
          </cell>
          <cell r="C652" t="str">
            <v>RS-001_4300802</v>
          </cell>
          <cell r="D652" t="str">
            <v>ANTÔNIO PRADO</v>
          </cell>
          <cell r="E652" t="str">
            <v>RS</v>
          </cell>
          <cell r="F652" t="str">
            <v>û</v>
          </cell>
        </row>
        <row r="653">
          <cell r="A653" t="str">
            <v>SSER</v>
          </cell>
          <cell r="B653" t="str">
            <v>ERECHIM</v>
          </cell>
          <cell r="C653" t="str">
            <v>RS0018_4307005</v>
          </cell>
          <cell r="D653" t="str">
            <v>ERECHIM</v>
          </cell>
          <cell r="E653" t="str">
            <v>RS</v>
          </cell>
          <cell r="F653" t="str">
            <v>û</v>
          </cell>
        </row>
        <row r="654">
          <cell r="A654" t="str">
            <v>SDRS</v>
          </cell>
          <cell r="B654" t="str">
            <v>RESENDE</v>
          </cell>
          <cell r="C654" t="str">
            <v>RJ0007_3304201</v>
          </cell>
          <cell r="D654" t="str">
            <v>RESENDE</v>
          </cell>
          <cell r="E654" t="str">
            <v>RJ</v>
          </cell>
          <cell r="F654" t="str">
            <v>û</v>
          </cell>
        </row>
        <row r="655">
          <cell r="A655" t="str">
            <v>N640</v>
          </cell>
          <cell r="B655" t="str">
            <v>AEROPORTO PRÉ-PLANEJADO EM SEDE DE UTP</v>
          </cell>
          <cell r="C655" t="str">
            <v>MA-014_2104800</v>
          </cell>
          <cell r="D655" t="str">
            <v>GRAJAÚ</v>
          </cell>
          <cell r="E655" t="str">
            <v>MA</v>
          </cell>
          <cell r="F655" t="str">
            <v>û</v>
          </cell>
        </row>
        <row r="656">
          <cell r="A656" t="str">
            <v>SSPI</v>
          </cell>
          <cell r="B656" t="str">
            <v>EDU CHAVES</v>
          </cell>
          <cell r="C656" t="str">
            <v>PR0010_4118402</v>
          </cell>
          <cell r="D656" t="str">
            <v>PARANAVAÍ</v>
          </cell>
          <cell r="E656" t="str">
            <v>PR</v>
          </cell>
          <cell r="F656" t="str">
            <v>û</v>
          </cell>
        </row>
        <row r="657">
          <cell r="A657" t="str">
            <v>SNMH</v>
          </cell>
          <cell r="B657" t="str">
            <v>PIRENÓPOLIS</v>
          </cell>
          <cell r="C657" t="str">
            <v>GO0018_5217302</v>
          </cell>
          <cell r="D657" t="str">
            <v>PIRENÓPOLIS</v>
          </cell>
          <cell r="E657" t="str">
            <v>GO</v>
          </cell>
          <cell r="F657" t="str">
            <v>û</v>
          </cell>
        </row>
        <row r="658">
          <cell r="A658" t="str">
            <v>SSVN</v>
          </cell>
          <cell r="B658" t="str">
            <v>VERANÓPOLIS</v>
          </cell>
          <cell r="C658" t="str">
            <v>RS0030_4322806</v>
          </cell>
          <cell r="D658" t="str">
            <v>VERANÓPOLIS</v>
          </cell>
          <cell r="E658" t="str">
            <v>RS</v>
          </cell>
          <cell r="F658" t="str">
            <v>û</v>
          </cell>
        </row>
        <row r="659">
          <cell r="A659" t="str">
            <v>SBUY</v>
          </cell>
          <cell r="B659" t="str">
            <v>URUCU</v>
          </cell>
          <cell r="C659" t="str">
            <v>AM0025_1301209</v>
          </cell>
          <cell r="D659" t="str">
            <v>COARI</v>
          </cell>
          <cell r="E659" t="str">
            <v>AM</v>
          </cell>
          <cell r="F659" t="str">
            <v>û</v>
          </cell>
        </row>
        <row r="660">
          <cell r="A660" t="str">
            <v>N503</v>
          </cell>
          <cell r="B660" t="str">
            <v>AEROPORTO PRÉ-PLANEJADO EM SEDE DE UTP</v>
          </cell>
          <cell r="C660" t="str">
            <v>MG-028_3152006</v>
          </cell>
          <cell r="D660" t="str">
            <v>POMPÉU</v>
          </cell>
          <cell r="E660" t="str">
            <v>MG</v>
          </cell>
          <cell r="F660" t="str">
            <v>û</v>
          </cell>
        </row>
        <row r="661">
          <cell r="A661" t="str">
            <v>N455</v>
          </cell>
          <cell r="B661" t="str">
            <v>AEROPORTO PRÉ-PLANEJADO EM SEDE DE UTP</v>
          </cell>
          <cell r="C661" t="str">
            <v>MG-012_3128006</v>
          </cell>
          <cell r="D661" t="str">
            <v>GUANHÃES</v>
          </cell>
          <cell r="E661" t="str">
            <v>MG</v>
          </cell>
          <cell r="F661" t="str">
            <v>û</v>
          </cell>
        </row>
        <row r="662">
          <cell r="A662" t="str">
            <v>SSOW</v>
          </cell>
          <cell r="B662" t="str">
            <v>AEROCLUBE DE FREDERICO WESTPHALEN</v>
          </cell>
          <cell r="C662" t="str">
            <v>RS0098_4308508</v>
          </cell>
          <cell r="D662" t="str">
            <v>FREDERICO WESTPHALEN</v>
          </cell>
          <cell r="E662" t="str">
            <v>RS</v>
          </cell>
          <cell r="F662" t="str">
            <v>û</v>
          </cell>
        </row>
        <row r="663">
          <cell r="A663" t="str">
            <v>SBLJ</v>
          </cell>
          <cell r="B663" t="str">
            <v>LAGES</v>
          </cell>
          <cell r="C663" t="str">
            <v>SC0007_4209300</v>
          </cell>
          <cell r="D663" t="str">
            <v>LAGES</v>
          </cell>
          <cell r="E663" t="str">
            <v>SC</v>
          </cell>
          <cell r="F663" t="str">
            <v>û</v>
          </cell>
        </row>
        <row r="664">
          <cell r="A664" t="str">
            <v>N008</v>
          </cell>
          <cell r="B664" t="str">
            <v>AEROPORTO PRÉ-PLANEJADO EM SEDE DE UTP</v>
          </cell>
          <cell r="C664" t="str">
            <v>PB-001_2500403</v>
          </cell>
          <cell r="D664" t="str">
            <v>ALAGOA NOVA</v>
          </cell>
          <cell r="E664" t="str">
            <v>PB</v>
          </cell>
          <cell r="F664" t="str">
            <v>û</v>
          </cell>
        </row>
        <row r="665">
          <cell r="A665" t="str">
            <v>N040</v>
          </cell>
          <cell r="B665" t="str">
            <v>AEROPORTO PRÉ-PLANEJADO EM SEDE DE UTP</v>
          </cell>
          <cell r="C665" t="str">
            <v>SP-003_3503802</v>
          </cell>
          <cell r="D665" t="str">
            <v>ARTUR NOGUEIRA</v>
          </cell>
          <cell r="E665" t="str">
            <v>SP</v>
          </cell>
          <cell r="F665" t="str">
            <v>û</v>
          </cell>
        </row>
        <row r="666">
          <cell r="A666" t="str">
            <v>SDUQ</v>
          </cell>
          <cell r="B666" t="str">
            <v>PARAGUAÇU PAULISTA</v>
          </cell>
          <cell r="C666" t="str">
            <v>SP0042_3535507</v>
          </cell>
          <cell r="D666" t="str">
            <v>PARAGUAÇU PAULISTA</v>
          </cell>
          <cell r="E666" t="str">
            <v>SP</v>
          </cell>
          <cell r="F666" t="str">
            <v>û</v>
          </cell>
        </row>
        <row r="667">
          <cell r="A667" t="str">
            <v>SNEE</v>
          </cell>
          <cell r="B667" t="str">
            <v>VACARIA NOVO</v>
          </cell>
          <cell r="C667" t="str">
            <v>RS0004_4322509</v>
          </cell>
          <cell r="D667" t="str">
            <v>VACARIA</v>
          </cell>
          <cell r="E667" t="str">
            <v>RS</v>
          </cell>
          <cell r="F667" t="str">
            <v>û</v>
          </cell>
        </row>
        <row r="668">
          <cell r="A668" t="str">
            <v>SNAS</v>
          </cell>
          <cell r="B668" t="str">
            <v>TRÊS MARIAS</v>
          </cell>
          <cell r="C668" t="str">
            <v>MG0022_3169356</v>
          </cell>
          <cell r="D668" t="str">
            <v>TRÊS MARIAS</v>
          </cell>
          <cell r="E668" t="str">
            <v>MG</v>
          </cell>
          <cell r="F668" t="str">
            <v>û</v>
          </cell>
        </row>
        <row r="669">
          <cell r="A669" t="str">
            <v>SSAE</v>
          </cell>
          <cell r="B669" t="str">
            <v>ARROIO GRANDE</v>
          </cell>
          <cell r="C669" t="str">
            <v>RS0040_4301305</v>
          </cell>
          <cell r="D669" t="str">
            <v>ARROIO GRANDE</v>
          </cell>
          <cell r="E669" t="str">
            <v>RS</v>
          </cell>
          <cell r="F669" t="str">
            <v>û</v>
          </cell>
        </row>
        <row r="670">
          <cell r="A670" t="str">
            <v>N394</v>
          </cell>
          <cell r="B670" t="str">
            <v>AEROPORTO PRÉ-PLANEJADO EM SEDE DE UTP</v>
          </cell>
          <cell r="C670" t="str">
            <v>BA-029_2929370</v>
          </cell>
          <cell r="D670" t="str">
            <v>SÃO JOSÉ DO JACUÍPE</v>
          </cell>
          <cell r="E670" t="str">
            <v>BA</v>
          </cell>
          <cell r="F670" t="str">
            <v>û</v>
          </cell>
        </row>
        <row r="671">
          <cell r="A671" t="str">
            <v>SJRG</v>
          </cell>
          <cell r="B671" t="str">
            <v>REGIONAL DE RIO GRANDE</v>
          </cell>
          <cell r="C671" t="str">
            <v>RS0013_4315602</v>
          </cell>
          <cell r="D671" t="str">
            <v>RIO GRANDE</v>
          </cell>
          <cell r="E671" t="str">
            <v>RS</v>
          </cell>
          <cell r="F671" t="str">
            <v>û</v>
          </cell>
        </row>
        <row r="672">
          <cell r="A672" t="str">
            <v>N384</v>
          </cell>
          <cell r="B672" t="str">
            <v>AEROPORTO PRÉ-PLANEJADO EM SEDE DE UTP</v>
          </cell>
          <cell r="C672" t="str">
            <v>RS-023_4316501</v>
          </cell>
          <cell r="D672" t="str">
            <v>SALVADOR DO SUL</v>
          </cell>
          <cell r="E672" t="str">
            <v>RS</v>
          </cell>
          <cell r="F672" t="str">
            <v>û</v>
          </cell>
        </row>
        <row r="673">
          <cell r="A673" t="str">
            <v>SDPN</v>
          </cell>
          <cell r="B673" t="str">
            <v>PENÁPOLIS</v>
          </cell>
          <cell r="C673" t="str">
            <v>SP0024_3537305</v>
          </cell>
          <cell r="D673" t="str">
            <v>PENÁPOLIS</v>
          </cell>
          <cell r="E673" t="str">
            <v>SP</v>
          </cell>
          <cell r="F673" t="str">
            <v>û</v>
          </cell>
        </row>
        <row r="674">
          <cell r="A674" t="str">
            <v>SNIB</v>
          </cell>
          <cell r="B674" t="str">
            <v>ITABERABA</v>
          </cell>
          <cell r="C674" t="str">
            <v>BA0045_2914703</v>
          </cell>
          <cell r="D674" t="str">
            <v>ITABERABA</v>
          </cell>
          <cell r="E674" t="str">
            <v>BA</v>
          </cell>
          <cell r="F674" t="str">
            <v>û</v>
          </cell>
        </row>
        <row r="675">
          <cell r="A675" t="str">
            <v>SNNE</v>
          </cell>
          <cell r="B675" t="str">
            <v>SEBASTIÃO CARLOS LEITE</v>
          </cell>
          <cell r="C675" t="str">
            <v>MG0078_3162906</v>
          </cell>
          <cell r="D675" t="str">
            <v>SÃO JOÃO NEPOMUCENO</v>
          </cell>
          <cell r="E675" t="str">
            <v>MG</v>
          </cell>
          <cell r="F675" t="str">
            <v>û</v>
          </cell>
        </row>
        <row r="676">
          <cell r="A676" t="str">
            <v>N574</v>
          </cell>
          <cell r="B676" t="str">
            <v>AEROPORTO PRÉ-PLANEJADO EM SEDE DE UTP</v>
          </cell>
          <cell r="C676" t="str">
            <v>RJ-022_3306107</v>
          </cell>
          <cell r="D676" t="str">
            <v>VALENÇA</v>
          </cell>
          <cell r="E676" t="str">
            <v>RJ</v>
          </cell>
          <cell r="F676" t="str">
            <v>û</v>
          </cell>
        </row>
        <row r="677">
          <cell r="A677" t="str">
            <v>N483</v>
          </cell>
          <cell r="B677" t="str">
            <v>AEROPORTO PRÉ-PLANEJADO EM SEDE DE UTP</v>
          </cell>
          <cell r="C677" t="str">
            <v>RJ-023_3306305</v>
          </cell>
          <cell r="D677" t="str">
            <v>VOLTA REDONDA</v>
          </cell>
          <cell r="E677" t="str">
            <v>RJ</v>
          </cell>
          <cell r="F677" t="str">
            <v>û</v>
          </cell>
        </row>
        <row r="678">
          <cell r="A678" t="str">
            <v>N125</v>
          </cell>
          <cell r="B678" t="str">
            <v>AEROPORTO PRÉ-PLANEJADO EM SEDE DE UTP</v>
          </cell>
          <cell r="C678" t="str">
            <v>RS-007_4305454</v>
          </cell>
          <cell r="D678" t="str">
            <v>CIDREIRA</v>
          </cell>
          <cell r="E678" t="str">
            <v>RS</v>
          </cell>
          <cell r="F678" t="str">
            <v>û</v>
          </cell>
        </row>
        <row r="679">
          <cell r="A679" t="str">
            <v>SDGC</v>
          </cell>
          <cell r="B679" t="str">
            <v>GARÇA</v>
          </cell>
          <cell r="C679" t="str">
            <v>SP0055_3516705</v>
          </cell>
          <cell r="D679" t="str">
            <v>GARÇA</v>
          </cell>
          <cell r="E679" t="str">
            <v>SP</v>
          </cell>
          <cell r="F679" t="str">
            <v>û</v>
          </cell>
        </row>
        <row r="680">
          <cell r="A680" t="str">
            <v>SIMK</v>
          </cell>
          <cell r="B680" t="str">
            <v>TENENTE LUND PRESSOTO</v>
          </cell>
          <cell r="C680" t="str">
            <v>SP0011_3516200</v>
          </cell>
          <cell r="D680" t="str">
            <v>FRANCA</v>
          </cell>
          <cell r="E680" t="str">
            <v>SP</v>
          </cell>
          <cell r="F680" t="str">
            <v>û</v>
          </cell>
        </row>
        <row r="681">
          <cell r="A681" t="str">
            <v>SDCA</v>
          </cell>
          <cell r="B681" t="str">
            <v>CAPÃO BONITO</v>
          </cell>
          <cell r="C681" t="str">
            <v>SP0051_3510203</v>
          </cell>
          <cell r="D681" t="str">
            <v>CAPÃO BONITO</v>
          </cell>
          <cell r="E681" t="str">
            <v>SP</v>
          </cell>
          <cell r="F681" t="str">
            <v>û</v>
          </cell>
        </row>
        <row r="682">
          <cell r="A682" t="str">
            <v>N062</v>
          </cell>
          <cell r="B682" t="str">
            <v>AEROPORTO PRÉ-PLANEJADO EM SEDE DE UTP</v>
          </cell>
          <cell r="C682" t="str">
            <v>AM-010_1303536</v>
          </cell>
          <cell r="D682" t="str">
            <v>PRESIDENTE FIGUEIREDO</v>
          </cell>
          <cell r="E682" t="str">
            <v>AM</v>
          </cell>
          <cell r="F682" t="str">
            <v>û</v>
          </cell>
        </row>
        <row r="683">
          <cell r="A683" t="str">
            <v>SNMX</v>
          </cell>
          <cell r="B683" t="str">
            <v>SÃO MATEUS</v>
          </cell>
          <cell r="C683" t="str">
            <v>ES0003_3204906</v>
          </cell>
          <cell r="D683" t="str">
            <v>SÃO MATEUS</v>
          </cell>
          <cell r="E683" t="str">
            <v>ES</v>
          </cell>
          <cell r="F683" t="str">
            <v>û</v>
          </cell>
        </row>
        <row r="684">
          <cell r="A684" t="str">
            <v>SSRG</v>
          </cell>
          <cell r="B684" t="str">
            <v>AEROPORTO ESTADUAL DE REGISTRO</v>
          </cell>
          <cell r="C684" t="str">
            <v>SP0030_3542602</v>
          </cell>
          <cell r="D684" t="str">
            <v>REGISTRO</v>
          </cell>
          <cell r="E684" t="str">
            <v>SP</v>
          </cell>
          <cell r="F684" t="str">
            <v>û</v>
          </cell>
        </row>
        <row r="685">
          <cell r="A685" t="str">
            <v>N368</v>
          </cell>
          <cell r="B685" t="str">
            <v>AEROPORTO PRÉ-PLANEJADO EM SEDE DE UTP</v>
          </cell>
          <cell r="C685" t="str">
            <v>BA-019_2922102</v>
          </cell>
          <cell r="D685" t="str">
            <v>MUNDO NOVO</v>
          </cell>
          <cell r="E685" t="str">
            <v>BA</v>
          </cell>
          <cell r="F685" t="str">
            <v>û</v>
          </cell>
        </row>
        <row r="686">
          <cell r="A686" t="str">
            <v>N710</v>
          </cell>
          <cell r="B686" t="str">
            <v>AEROPORTO PRÉ-PLANEJADO EM SEDE DE UTP</v>
          </cell>
          <cell r="C686" t="str">
            <v>PR-007_4115804</v>
          </cell>
          <cell r="D686" t="str">
            <v>MEDIANEIRA</v>
          </cell>
          <cell r="E686" t="str">
            <v>PR</v>
          </cell>
          <cell r="F686" t="str">
            <v>û</v>
          </cell>
        </row>
        <row r="687">
          <cell r="A687" t="str">
            <v>SNRD</v>
          </cell>
          <cell r="B687" t="str">
            <v>PRADO</v>
          </cell>
          <cell r="C687" t="str">
            <v>BA0048_2925501</v>
          </cell>
          <cell r="D687" t="str">
            <v>PRADO</v>
          </cell>
          <cell r="E687" t="str">
            <v>BA</v>
          </cell>
          <cell r="F687" t="str">
            <v>û</v>
          </cell>
        </row>
        <row r="688">
          <cell r="A688" t="str">
            <v>N399</v>
          </cell>
          <cell r="B688" t="str">
            <v>AEROPORTO PRÉ-PLANEJADO EM SEDE DE UTP</v>
          </cell>
          <cell r="C688" t="str">
            <v>BA-031_2931905</v>
          </cell>
          <cell r="D688" t="str">
            <v>TUCANO</v>
          </cell>
          <cell r="E688" t="str">
            <v>BA</v>
          </cell>
          <cell r="F688" t="str">
            <v>û</v>
          </cell>
        </row>
        <row r="689">
          <cell r="A689" t="str">
            <v>N310</v>
          </cell>
          <cell r="B689" t="str">
            <v>AEROPORTO PRÉ-PLANEJADO EM SEDE DE UTP</v>
          </cell>
          <cell r="C689" t="str">
            <v>MG-025_3147402</v>
          </cell>
          <cell r="D689" t="str">
            <v>PARAOPEBA</v>
          </cell>
          <cell r="E689" t="str">
            <v>MG</v>
          </cell>
          <cell r="F689" t="str">
            <v>û</v>
          </cell>
        </row>
        <row r="690">
          <cell r="A690" t="str">
            <v>N002</v>
          </cell>
          <cell r="B690" t="str">
            <v>AEROPORTO PRÉ-PLANEJADO EM SEDE DE UTP</v>
          </cell>
          <cell r="C690" t="str">
            <v>PA-001_1500107</v>
          </cell>
          <cell r="D690" t="str">
            <v>ABAETETUBA</v>
          </cell>
          <cell r="E690" t="str">
            <v>PA</v>
          </cell>
          <cell r="F690" t="str">
            <v>û</v>
          </cell>
        </row>
        <row r="691">
          <cell r="A691" t="str">
            <v>SDNH</v>
          </cell>
          <cell r="B691" t="str">
            <v>NOVO HORIZONTE</v>
          </cell>
          <cell r="C691" t="str">
            <v>SP0060_3533502</v>
          </cell>
          <cell r="D691" t="str">
            <v>NOVO HORIZONTE</v>
          </cell>
          <cell r="E691" t="str">
            <v>SP</v>
          </cell>
          <cell r="F691" t="str">
            <v>û</v>
          </cell>
        </row>
        <row r="692">
          <cell r="A692" t="str">
            <v>SNIT</v>
          </cell>
          <cell r="B692" t="str">
            <v>IBOTIRAMA</v>
          </cell>
          <cell r="C692" t="str">
            <v>BA0046_2913200</v>
          </cell>
          <cell r="D692" t="str">
            <v>IBOTIRAMA</v>
          </cell>
          <cell r="E692" t="str">
            <v>BA</v>
          </cell>
          <cell r="F692" t="str">
            <v>û</v>
          </cell>
        </row>
        <row r="693">
          <cell r="A693" t="str">
            <v>SWPM</v>
          </cell>
          <cell r="B693" t="str">
            <v>PIMENTA BUENO</v>
          </cell>
          <cell r="C693" t="str">
            <v>RO0009_1100189</v>
          </cell>
          <cell r="D693" t="str">
            <v>PIMENTA BUENO</v>
          </cell>
          <cell r="E693" t="str">
            <v>RO</v>
          </cell>
          <cell r="F693" t="str">
            <v>û</v>
          </cell>
        </row>
        <row r="694">
          <cell r="A694" t="str">
            <v>N129</v>
          </cell>
          <cell r="B694" t="str">
            <v>AEROPORTO PRÉ-PLANEJADO FORA DE SEDE DE UTP</v>
          </cell>
          <cell r="C694" t="str">
            <v>BA-027_2928703</v>
          </cell>
          <cell r="D694" t="str">
            <v>SANTO ANTÔNIO DE JESUS</v>
          </cell>
          <cell r="E694" t="str">
            <v>BA</v>
          </cell>
          <cell r="F694" t="str">
            <v>û</v>
          </cell>
        </row>
        <row r="695">
          <cell r="A695" t="str">
            <v>N269</v>
          </cell>
          <cell r="B695" t="str">
            <v>AEROPORTO PRÉ-PLANEJADO EM SEDE DE UTP</v>
          </cell>
          <cell r="C695" t="str">
            <v>PB-008_2508901</v>
          </cell>
          <cell r="D695" t="str">
            <v>MAMANGUAPE</v>
          </cell>
          <cell r="E695" t="str">
            <v>PB</v>
          </cell>
          <cell r="F695" t="str">
            <v>û</v>
          </cell>
        </row>
        <row r="696">
          <cell r="A696" t="str">
            <v>SNKO</v>
          </cell>
          <cell r="B696" t="str">
            <v>BROTAS DE MACAÚBAS</v>
          </cell>
          <cell r="C696" t="str">
            <v>BA0055_2904506</v>
          </cell>
          <cell r="D696" t="str">
            <v>BROTAS DE MACAÚBAS</v>
          </cell>
          <cell r="E696" t="str">
            <v>BA</v>
          </cell>
          <cell r="F696" t="str">
            <v>û</v>
          </cell>
        </row>
        <row r="697">
          <cell r="A697" t="str">
            <v>SBES</v>
          </cell>
          <cell r="B697" t="str">
            <v>TENENTE JORGE HENRIQUE MÖLLER</v>
          </cell>
          <cell r="C697" t="str">
            <v>RJ9001_3305208</v>
          </cell>
          <cell r="D697" t="str">
            <v>São Pedro da Aldeia</v>
          </cell>
          <cell r="E697" t="str">
            <v>RJ</v>
          </cell>
          <cell r="F697" t="str">
            <v>û</v>
          </cell>
        </row>
        <row r="698">
          <cell r="A698" t="str">
            <v>SSPG</v>
          </cell>
          <cell r="B698" t="str">
            <v>SANTOS DUMONT</v>
          </cell>
          <cell r="C698" t="str">
            <v>PR0011_4118204</v>
          </cell>
          <cell r="D698" t="str">
            <v>PARANAGUÁ</v>
          </cell>
          <cell r="E698" t="str">
            <v>PR</v>
          </cell>
          <cell r="F698" t="str">
            <v>û</v>
          </cell>
        </row>
        <row r="699">
          <cell r="A699" t="str">
            <v>SNBA</v>
          </cell>
          <cell r="B699" t="str">
            <v>CHAFEI AMSEI</v>
          </cell>
          <cell r="C699" t="str">
            <v>SP0013_3505500</v>
          </cell>
          <cell r="D699" t="str">
            <v>BARRETOS</v>
          </cell>
          <cell r="E699" t="str">
            <v>SP</v>
          </cell>
          <cell r="F699" t="str">
            <v>û</v>
          </cell>
        </row>
        <row r="700">
          <cell r="A700" t="str">
            <v>SSAP</v>
          </cell>
          <cell r="B700" t="str">
            <v>CAPITÃO JOÃO BUSSE</v>
          </cell>
          <cell r="C700" t="str">
            <v>PR0014_4101408</v>
          </cell>
          <cell r="D700" t="str">
            <v>APUCARANA</v>
          </cell>
          <cell r="E700" t="str">
            <v>PR</v>
          </cell>
          <cell r="F700" t="str">
            <v>û</v>
          </cell>
        </row>
        <row r="701">
          <cell r="A701" t="str">
            <v>N378</v>
          </cell>
          <cell r="B701" t="str">
            <v>AEROPORTO PRÉ-PLANEJADO FORA DE SEDE DE UTP</v>
          </cell>
          <cell r="C701" t="str">
            <v>RJ-019_3305505</v>
          </cell>
          <cell r="D701" t="str">
            <v>SAQUAREMA</v>
          </cell>
          <cell r="E701" t="str">
            <v>RJ</v>
          </cell>
          <cell r="F701" t="str">
            <v>û</v>
          </cell>
        </row>
        <row r="702">
          <cell r="A702" t="str">
            <v>N262</v>
          </cell>
          <cell r="B702" t="str">
            <v>AEROPORTO PRÉ-PLANEJADO EM SEDE DE UTP</v>
          </cell>
          <cell r="C702" t="str">
            <v>SP-018_3527207</v>
          </cell>
          <cell r="D702" t="str">
            <v>LORENA</v>
          </cell>
          <cell r="E702" t="str">
            <v>SP</v>
          </cell>
          <cell r="F702" t="str">
            <v>û</v>
          </cell>
        </row>
        <row r="703">
          <cell r="A703" t="str">
            <v>SSOI</v>
          </cell>
          <cell r="B703" t="str">
            <v>PEDERNEIRAS</v>
          </cell>
          <cell r="C703" t="str">
            <v>SP0043_3536703</v>
          </cell>
          <cell r="D703" t="str">
            <v>PEDERNEIRAS</v>
          </cell>
          <cell r="E703" t="str">
            <v>SP</v>
          </cell>
          <cell r="F703" t="str">
            <v>û</v>
          </cell>
        </row>
        <row r="704">
          <cell r="A704" t="str">
            <v>N886</v>
          </cell>
          <cell r="B704" t="str">
            <v>AEROPORTO PRÉ-PLANEJADO EM SEDE DE UTP</v>
          </cell>
          <cell r="C704" t="str">
            <v>RN-008_2414902</v>
          </cell>
          <cell r="D704" t="str">
            <v>VIÇOSA</v>
          </cell>
          <cell r="E704" t="str">
            <v>RN</v>
          </cell>
          <cell r="F704" t="str">
            <v>û</v>
          </cell>
        </row>
        <row r="705">
          <cell r="A705" t="str">
            <v>SDIV</v>
          </cell>
          <cell r="B705" t="str">
            <v>ITUVERAVA</v>
          </cell>
          <cell r="C705" t="str">
            <v>SP0056_3524105</v>
          </cell>
          <cell r="D705" t="str">
            <v>ITUVERAVA</v>
          </cell>
          <cell r="E705" t="str">
            <v>SP</v>
          </cell>
          <cell r="F705" t="str">
            <v>û</v>
          </cell>
        </row>
        <row r="706">
          <cell r="A706" t="str">
            <v>SDVE</v>
          </cell>
          <cell r="B706" t="str">
            <v>VERA CRUZ</v>
          </cell>
          <cell r="C706" t="str">
            <v>SP0070_3556602</v>
          </cell>
          <cell r="D706" t="str">
            <v>VERA CRUZ</v>
          </cell>
          <cell r="E706" t="str">
            <v>SP</v>
          </cell>
          <cell r="F706" t="str">
            <v>û</v>
          </cell>
        </row>
        <row r="707">
          <cell r="A707" t="str">
            <v>SSPY</v>
          </cell>
          <cell r="B707" t="str">
            <v>PORTO ÍNDIO</v>
          </cell>
          <cell r="C707" t="str">
            <v>MS9001_5003207</v>
          </cell>
          <cell r="D707" t="str">
            <v>Corumbá</v>
          </cell>
          <cell r="E707" t="str">
            <v>MS</v>
          </cell>
          <cell r="F707" t="str">
            <v>û</v>
          </cell>
        </row>
        <row r="708">
          <cell r="A708" t="str">
            <v>N253</v>
          </cell>
          <cell r="B708" t="str">
            <v>AEROPORTO PRÉ-PLANEJADO EM SEDE DE UTP</v>
          </cell>
          <cell r="C708" t="str">
            <v>PB-009_2500700</v>
          </cell>
          <cell r="D708" t="str">
            <v>SÃO JOÃO DO RIO DO PEIXE</v>
          </cell>
          <cell r="E708" t="str">
            <v>PB</v>
          </cell>
          <cell r="F708" t="str">
            <v>û</v>
          </cell>
        </row>
        <row r="709">
          <cell r="A709" t="str">
            <v>SDNO</v>
          </cell>
          <cell r="B709" t="str">
            <v>NELSON GARÓFALO</v>
          </cell>
          <cell r="C709" t="str">
            <v>SP0061_3550100</v>
          </cell>
          <cell r="D709" t="str">
            <v>SÃO MANUEL</v>
          </cell>
          <cell r="E709" t="str">
            <v>SP</v>
          </cell>
          <cell r="F709" t="str">
            <v>û</v>
          </cell>
        </row>
        <row r="710">
          <cell r="A710" t="str">
            <v>SDBY</v>
          </cell>
          <cell r="B710" t="str">
            <v>BARIRI</v>
          </cell>
          <cell r="C710" t="str">
            <v>SP0032_3505203</v>
          </cell>
          <cell r="D710" t="str">
            <v>BARIRI</v>
          </cell>
          <cell r="E710" t="str">
            <v>SP</v>
          </cell>
          <cell r="F710" t="str">
            <v>û</v>
          </cell>
        </row>
        <row r="711">
          <cell r="A711" t="str">
            <v>N281</v>
          </cell>
          <cell r="B711" t="str">
            <v>AEROPORTO PRÉ-PLANEJADO EM SEDE DE UTP</v>
          </cell>
          <cell r="C711" t="str">
            <v>PR-006_4115705</v>
          </cell>
          <cell r="D711" t="str">
            <v>MATINHOS</v>
          </cell>
          <cell r="E711" t="str">
            <v>PR</v>
          </cell>
          <cell r="F711" t="str">
            <v>û</v>
          </cell>
        </row>
        <row r="712">
          <cell r="A712" t="str">
            <v>N491</v>
          </cell>
          <cell r="B712" t="str">
            <v>AEROPORTO PRÉ-PLANEJADO FORA DE SEDE DE UTP</v>
          </cell>
          <cell r="C712" t="str">
            <v>MG-026_3147709</v>
          </cell>
          <cell r="D712" t="str">
            <v>PASSA TEMPO</v>
          </cell>
          <cell r="E712" t="str">
            <v>MG</v>
          </cell>
          <cell r="F712" t="str">
            <v>û</v>
          </cell>
        </row>
        <row r="713">
          <cell r="A713" t="str">
            <v>SWXQ</v>
          </cell>
          <cell r="B713" t="str">
            <v>LINS</v>
          </cell>
          <cell r="C713" t="str">
            <v>SP0015_3527108</v>
          </cell>
          <cell r="D713" t="str">
            <v>LINS</v>
          </cell>
          <cell r="E713" t="str">
            <v>SP</v>
          </cell>
          <cell r="F713" t="str">
            <v>û</v>
          </cell>
        </row>
        <row r="714">
          <cell r="A714" t="str">
            <v>SDMO</v>
          </cell>
          <cell r="B714" t="str">
            <v>MONTE ALTO</v>
          </cell>
          <cell r="C714" t="str">
            <v>SP0068_3531308</v>
          </cell>
          <cell r="D714" t="str">
            <v>MONTE ALTO</v>
          </cell>
          <cell r="E714" t="str">
            <v>SP</v>
          </cell>
          <cell r="F714" t="str">
            <v>û</v>
          </cell>
        </row>
        <row r="715">
          <cell r="A715" t="str">
            <v>SSFK</v>
          </cell>
          <cell r="B715" t="str">
            <v>FORTE COIMBRA</v>
          </cell>
          <cell r="C715" t="str">
            <v>MS9002_5003207</v>
          </cell>
          <cell r="D715" t="str">
            <v>Corumbá</v>
          </cell>
          <cell r="E715" t="str">
            <v>MS</v>
          </cell>
          <cell r="F715" t="str">
            <v>û</v>
          </cell>
        </row>
        <row r="716">
          <cell r="A716" t="str">
            <v>SBAQ</v>
          </cell>
          <cell r="B716" t="str">
            <v>BARTOLOMEU DE GUSMÃO</v>
          </cell>
          <cell r="C716" t="str">
            <v>SP0012_3503208</v>
          </cell>
          <cell r="D716" t="str">
            <v>ARARAQUARA</v>
          </cell>
          <cell r="E716" t="str">
            <v>SP</v>
          </cell>
          <cell r="F716" t="str">
            <v>û</v>
          </cell>
        </row>
        <row r="717">
          <cell r="A717" t="str">
            <v>SJGU</v>
          </cell>
          <cell r="B717" t="str">
            <v>ARAGUATINS</v>
          </cell>
          <cell r="C717" t="str">
            <v>TO0005_1702208</v>
          </cell>
          <cell r="D717" t="str">
            <v>ARAGUATINS</v>
          </cell>
          <cell r="E717" t="str">
            <v>TO</v>
          </cell>
          <cell r="F717" t="str">
            <v>û</v>
          </cell>
        </row>
        <row r="718">
          <cell r="A718" t="str">
            <v>N427</v>
          </cell>
          <cell r="B718" t="str">
            <v>AEROPORTO PRÉ-PLANEJADO EM SEDE DE UTP</v>
          </cell>
          <cell r="C718" t="str">
            <v>RS-026_4319901</v>
          </cell>
          <cell r="D718" t="str">
            <v>SAPIRANGA</v>
          </cell>
          <cell r="E718" t="str">
            <v>RS</v>
          </cell>
          <cell r="F718" t="str">
            <v>û</v>
          </cell>
        </row>
        <row r="719">
          <cell r="A719" t="str">
            <v>N212</v>
          </cell>
          <cell r="B719" t="str">
            <v>AEROPORTO PRÉ-PLANEJADO EM SEDE DE UTP</v>
          </cell>
          <cell r="C719" t="str">
            <v>BA-017_2914802</v>
          </cell>
          <cell r="D719" t="str">
            <v>ITABUNA</v>
          </cell>
          <cell r="E719" t="str">
            <v>BA</v>
          </cell>
          <cell r="F719" t="str">
            <v>û</v>
          </cell>
        </row>
        <row r="720">
          <cell r="A720" t="str">
            <v>N282</v>
          </cell>
          <cell r="B720" t="str">
            <v>AEROPORTO PRÉ-PLANEJADO EM SEDE DE UTP</v>
          </cell>
          <cell r="C720" t="str">
            <v>MG-020_3141108</v>
          </cell>
          <cell r="D720" t="str">
            <v>MATOZINHOS</v>
          </cell>
          <cell r="E720" t="str">
            <v>MG</v>
          </cell>
          <cell r="F720" t="str">
            <v>û</v>
          </cell>
        </row>
        <row r="721">
          <cell r="A721" t="str">
            <v>N437</v>
          </cell>
          <cell r="B721" t="str">
            <v>AEROPORTO PRÉ-PLANEJADO EM SEDE DE UTP</v>
          </cell>
          <cell r="C721" t="str">
            <v>RS-028_4321204</v>
          </cell>
          <cell r="D721" t="str">
            <v>TAQUARA</v>
          </cell>
          <cell r="E721" t="str">
            <v>RS</v>
          </cell>
          <cell r="F721" t="str">
            <v>û</v>
          </cell>
        </row>
        <row r="722">
          <cell r="A722" t="str">
            <v>N386</v>
          </cell>
          <cell r="B722" t="str">
            <v>AEROPORTO PRÉ-PLANEJADO EM SEDE DE UTP</v>
          </cell>
          <cell r="C722" t="str">
            <v>SP-023_3545605</v>
          </cell>
          <cell r="D722" t="str">
            <v>SANTA ADÉLIA</v>
          </cell>
          <cell r="E722" t="str">
            <v>SP</v>
          </cell>
          <cell r="F722" t="str">
            <v>û</v>
          </cell>
        </row>
        <row r="723">
          <cell r="A723" t="str">
            <v>SDZG</v>
          </cell>
          <cell r="B723" t="str">
            <v>PEDRO TEIXEIRA CASTELO REGIONAL TAUÁ</v>
          </cell>
          <cell r="C723" t="str">
            <v>CE0008_2313302</v>
          </cell>
          <cell r="D723" t="str">
            <v>TAUÁ</v>
          </cell>
          <cell r="E723" t="str">
            <v>CE</v>
          </cell>
          <cell r="F723" t="str">
            <v>û</v>
          </cell>
        </row>
        <row r="724">
          <cell r="A724" t="str">
            <v>SDPD</v>
          </cell>
          <cell r="B724" t="str">
            <v>PINDAMONHANGABA</v>
          </cell>
          <cell r="C724" t="str">
            <v>SP0072_3538006</v>
          </cell>
          <cell r="D724" t="str">
            <v>PINDAMONHANGABA</v>
          </cell>
          <cell r="E724" t="str">
            <v>SP</v>
          </cell>
          <cell r="F724" t="str">
            <v>û</v>
          </cell>
        </row>
        <row r="725">
          <cell r="A725" t="str">
            <v>SDBB</v>
          </cell>
          <cell r="B725" t="str">
            <v>BEBEDOURO</v>
          </cell>
          <cell r="C725" t="str">
            <v>SP0018_3506102</v>
          </cell>
          <cell r="D725" t="str">
            <v>BEBEDOURO</v>
          </cell>
          <cell r="E725" t="str">
            <v>SP</v>
          </cell>
          <cell r="F725" t="str">
            <v>û</v>
          </cell>
        </row>
        <row r="726">
          <cell r="A726" t="str">
            <v>N124</v>
          </cell>
          <cell r="B726" t="str">
            <v>AEROPORTO PRÉ-PLANEJADO EM SEDE DE UTP</v>
          </cell>
          <cell r="C726" t="str">
            <v>RS-006_4305355</v>
          </cell>
          <cell r="D726" t="str">
            <v>CHARQUEADAS</v>
          </cell>
          <cell r="E726" t="str">
            <v>RS</v>
          </cell>
          <cell r="F726" t="str">
            <v>û</v>
          </cell>
        </row>
        <row r="727">
          <cell r="A727" t="str">
            <v>N454</v>
          </cell>
          <cell r="B727" t="str">
            <v>AEROPORTO PRÉ-PLANEJADO EM SEDE DE UTP</v>
          </cell>
          <cell r="C727" t="str">
            <v>RJ-021_3306008</v>
          </cell>
          <cell r="D727" t="str">
            <v>TRÊS RIOS</v>
          </cell>
          <cell r="E727" t="str">
            <v>RJ</v>
          </cell>
          <cell r="F727" t="str">
            <v>û</v>
          </cell>
        </row>
        <row r="728">
          <cell r="A728" t="str">
            <v>SNKF</v>
          </cell>
          <cell r="B728" t="str">
            <v>DAS BANDEIRINHAS</v>
          </cell>
          <cell r="C728" t="str">
            <v>MG0071_3118304</v>
          </cell>
          <cell r="D728" t="str">
            <v>CONSELHEIRO LAFAIETE</v>
          </cell>
          <cell r="E728" t="str">
            <v>MG</v>
          </cell>
          <cell r="F728" t="str">
            <v>û</v>
          </cell>
        </row>
        <row r="729">
          <cell r="A729" t="str">
            <v>SWAY</v>
          </cell>
          <cell r="B729" t="str">
            <v>PIRIPIRI</v>
          </cell>
          <cell r="C729" t="str">
            <v>PI0068_2208403</v>
          </cell>
          <cell r="D729" t="str">
            <v>PIRIPIRI</v>
          </cell>
          <cell r="E729" t="str">
            <v>PI</v>
          </cell>
          <cell r="F729" t="str">
            <v>û</v>
          </cell>
        </row>
        <row r="730">
          <cell r="A730" t="str">
            <v>SSKJ</v>
          </cell>
          <cell r="B730" t="str">
            <v>PAU DOS FERROS</v>
          </cell>
          <cell r="C730" t="str">
            <v>RN0012_2409407</v>
          </cell>
          <cell r="D730" t="str">
            <v>PAU DOS FERROS</v>
          </cell>
          <cell r="E730" t="str">
            <v>RN</v>
          </cell>
          <cell r="F730" t="str">
            <v>û</v>
          </cell>
        </row>
        <row r="731">
          <cell r="A731" t="str">
            <v>N667</v>
          </cell>
          <cell r="B731" t="str">
            <v>AEROPORTO PRÉ-PLANEJADO EM SEDE DE UTP</v>
          </cell>
          <cell r="C731" t="str">
            <v>CE-004_2306553</v>
          </cell>
          <cell r="D731" t="str">
            <v>ITAREMA</v>
          </cell>
          <cell r="E731" t="str">
            <v>CE</v>
          </cell>
          <cell r="F731" t="str">
            <v>û</v>
          </cell>
        </row>
        <row r="732">
          <cell r="A732" t="str">
            <v>SBAN</v>
          </cell>
          <cell r="B732" t="str">
            <v>CAMPO MARECHAL MÁRCIO DE SOUZA E MELLO</v>
          </cell>
          <cell r="C732" t="str">
            <v>GO9001_5201108</v>
          </cell>
          <cell r="D732" t="str">
            <v>Anápolis</v>
          </cell>
          <cell r="E732" t="str">
            <v>GO</v>
          </cell>
          <cell r="F732" t="str">
            <v>û</v>
          </cell>
        </row>
        <row r="733">
          <cell r="A733" t="str">
            <v>N226</v>
          </cell>
          <cell r="B733" t="str">
            <v>AEROPORTO PRÉ-PLANEJADO EM SEDE DE UTP</v>
          </cell>
          <cell r="C733" t="str">
            <v>RS-013_4310801</v>
          </cell>
          <cell r="D733" t="str">
            <v>IVOTI</v>
          </cell>
          <cell r="E733" t="str">
            <v>RS</v>
          </cell>
          <cell r="F733" t="str">
            <v>û</v>
          </cell>
        </row>
        <row r="734">
          <cell r="A734" t="str">
            <v>SWSX</v>
          </cell>
          <cell r="B734" t="str">
            <v>XINGUARA</v>
          </cell>
          <cell r="C734" t="str">
            <v>PA0150_1508407</v>
          </cell>
          <cell r="D734" t="str">
            <v>XINGUARA</v>
          </cell>
          <cell r="E734" t="str">
            <v>PA</v>
          </cell>
          <cell r="F734" t="str">
            <v>û</v>
          </cell>
        </row>
        <row r="735">
          <cell r="A735" t="str">
            <v>SNOF</v>
          </cell>
          <cell r="B735" t="str">
            <v>OURO FINO</v>
          </cell>
          <cell r="C735" t="str">
            <v>MG0057_3146008</v>
          </cell>
          <cell r="D735" t="str">
            <v>OURO FINO</v>
          </cell>
          <cell r="E735" t="str">
            <v>MG</v>
          </cell>
          <cell r="F735" t="str">
            <v>û</v>
          </cell>
        </row>
        <row r="736">
          <cell r="A736" t="str">
            <v>N149</v>
          </cell>
          <cell r="B736" t="str">
            <v>AEROPORTO PRÉ-PLANEJADO EM SEDE DE UTP</v>
          </cell>
          <cell r="C736" t="str">
            <v>MA-011_2104057</v>
          </cell>
          <cell r="D736" t="str">
            <v>ESTREITO</v>
          </cell>
          <cell r="E736" t="str">
            <v>MA</v>
          </cell>
          <cell r="F736" t="str">
            <v>û</v>
          </cell>
        </row>
        <row r="737">
          <cell r="A737" t="str">
            <v>N295</v>
          </cell>
          <cell r="B737" t="str">
            <v>AEROPORTO PRÉ-PLANEJADO EM SEDE DE UTP</v>
          </cell>
          <cell r="C737" t="str">
            <v>RJ-014_3303401</v>
          </cell>
          <cell r="D737" t="str">
            <v>NOVA FRIBURGO</v>
          </cell>
          <cell r="E737" t="str">
            <v>RJ</v>
          </cell>
          <cell r="F737" t="str">
            <v>û</v>
          </cell>
        </row>
        <row r="738">
          <cell r="A738" t="str">
            <v>SNDT</v>
          </cell>
          <cell r="B738" t="str">
            <v>JUSCELINO KUBITSCHEK</v>
          </cell>
          <cell r="C738" t="str">
            <v>MG0030_3121605</v>
          </cell>
          <cell r="D738" t="str">
            <v>DIAMANTINA</v>
          </cell>
          <cell r="E738" t="str">
            <v>MG</v>
          </cell>
          <cell r="F738" t="str">
            <v>û</v>
          </cell>
        </row>
        <row r="739">
          <cell r="A739" t="str">
            <v>SSGA</v>
          </cell>
          <cell r="B739" t="str">
            <v>GARIBALDI</v>
          </cell>
          <cell r="C739" t="str">
            <v>RS0020_4308607</v>
          </cell>
          <cell r="D739" t="str">
            <v>GARIBALDI</v>
          </cell>
          <cell r="E739" t="str">
            <v>RS</v>
          </cell>
          <cell r="F739" t="str">
            <v>û</v>
          </cell>
        </row>
        <row r="740">
          <cell r="A740" t="str">
            <v>SSLN</v>
          </cell>
          <cell r="B740" t="str">
            <v>HELMUTH BAUNGARTEM</v>
          </cell>
          <cell r="C740" t="str">
            <v>SC0018_4209904</v>
          </cell>
          <cell r="D740" t="str">
            <v>LONTRAS</v>
          </cell>
          <cell r="E740" t="str">
            <v>SC</v>
          </cell>
          <cell r="F740" t="str">
            <v>û</v>
          </cell>
        </row>
        <row r="741">
          <cell r="A741" t="str">
            <v>SNQD</v>
          </cell>
          <cell r="B741" t="str">
            <v>SOUSA</v>
          </cell>
          <cell r="C741" t="str">
            <v>PB0006_2516201</v>
          </cell>
          <cell r="D741" t="str">
            <v>SOUSA</v>
          </cell>
          <cell r="E741" t="str">
            <v>PB</v>
          </cell>
          <cell r="F741" t="str">
            <v>û</v>
          </cell>
        </row>
        <row r="742">
          <cell r="A742" t="str">
            <v>SDBK</v>
          </cell>
          <cell r="B742" t="str">
            <v>TANCREDO DE ALMEIDA NEVES</v>
          </cell>
          <cell r="C742" t="str">
            <v>SP0019_3507506</v>
          </cell>
          <cell r="D742" t="str">
            <v>BOTUCATU</v>
          </cell>
          <cell r="E742" t="str">
            <v>SP</v>
          </cell>
          <cell r="F742" t="str">
            <v>û</v>
          </cell>
        </row>
        <row r="743">
          <cell r="A743" t="str">
            <v>SNJM</v>
          </cell>
          <cell r="B743" t="str">
            <v>REGIONAL DE SANTO AMARO DE MINAS</v>
          </cell>
          <cell r="C743" t="str">
            <v>MG0050_3139409</v>
          </cell>
          <cell r="D743" t="str">
            <v>MANHUAÇU</v>
          </cell>
          <cell r="E743" t="str">
            <v>MG</v>
          </cell>
          <cell r="F743" t="str">
            <v>û</v>
          </cell>
        </row>
        <row r="744">
          <cell r="A744" t="str">
            <v>N335</v>
          </cell>
          <cell r="B744" t="str">
            <v>AEROPORTO PRÉ-PLANEJADO FORA DE SEDE DE UTP</v>
          </cell>
          <cell r="C744" t="str">
            <v>BA-014_2910602</v>
          </cell>
          <cell r="D744" t="str">
            <v>ESPLANADA</v>
          </cell>
          <cell r="E744" t="str">
            <v>BA</v>
          </cell>
          <cell r="F744" t="str">
            <v>û</v>
          </cell>
        </row>
        <row r="745">
          <cell r="A745" t="str">
            <v>SSRF</v>
          </cell>
          <cell r="B745" t="str">
            <v>CASTRO ALVES</v>
          </cell>
          <cell r="C745" t="str">
            <v>BA0034_2907301</v>
          </cell>
          <cell r="D745" t="str">
            <v>CASTRO ALVES</v>
          </cell>
          <cell r="E745" t="str">
            <v>BA</v>
          </cell>
          <cell r="F745" t="str">
            <v>û</v>
          </cell>
        </row>
        <row r="746">
          <cell r="A746" t="str">
            <v>N445</v>
          </cell>
          <cell r="B746" t="str">
            <v>AEROPORTO PRÉ-PLANEJADO EM SEDE DE UTP</v>
          </cell>
          <cell r="C746" t="str">
            <v>RJ-020_3305802</v>
          </cell>
          <cell r="D746" t="str">
            <v>TERESÓPOLIS</v>
          </cell>
          <cell r="E746" t="str">
            <v>RJ</v>
          </cell>
          <cell r="F746" t="str">
            <v>û</v>
          </cell>
        </row>
        <row r="747">
          <cell r="A747" t="str">
            <v>SJZA</v>
          </cell>
          <cell r="B747" t="str">
            <v>PEDRO VIEIRA MOREIRA</v>
          </cell>
          <cell r="C747" t="str">
            <v>PB0004_2503704</v>
          </cell>
          <cell r="D747" t="str">
            <v>CAJAZEIRAS</v>
          </cell>
          <cell r="E747" t="str">
            <v>PB</v>
          </cell>
          <cell r="F747" t="str">
            <v>û</v>
          </cell>
        </row>
        <row r="748">
          <cell r="A748" t="str">
            <v>SDAE</v>
          </cell>
          <cell r="B748" t="str">
            <v>SÃO PEDRO</v>
          </cell>
          <cell r="C748" t="str">
            <v>SP0053_3550407</v>
          </cell>
          <cell r="D748" t="str">
            <v>SÃO PEDRO</v>
          </cell>
          <cell r="E748" t="str">
            <v>SP</v>
          </cell>
          <cell r="F748" t="str">
            <v>û</v>
          </cell>
        </row>
        <row r="749">
          <cell r="A749" t="str">
            <v>N560</v>
          </cell>
          <cell r="B749" t="str">
            <v>AEROPORTO PRÉ-PLANEJADO FORA DE SEDE DE UTP</v>
          </cell>
          <cell r="C749" t="str">
            <v>RJ-015_3303500</v>
          </cell>
          <cell r="D749" t="str">
            <v>NOVA IGUAÇU</v>
          </cell>
          <cell r="E749" t="str">
            <v>RJ</v>
          </cell>
          <cell r="F749" t="str">
            <v>û</v>
          </cell>
        </row>
        <row r="750">
          <cell r="A750" t="str">
            <v>SBGW</v>
          </cell>
          <cell r="B750" t="str">
            <v>GUARATINGUETÁ</v>
          </cell>
          <cell r="C750" t="str">
            <v>SP0076_3518404</v>
          </cell>
          <cell r="D750" t="str">
            <v>GUARATINGUETÁ</v>
          </cell>
          <cell r="E750" t="str">
            <v>SP</v>
          </cell>
          <cell r="F750" t="str">
            <v>û</v>
          </cell>
        </row>
        <row r="751">
          <cell r="A751" t="str">
            <v>N739</v>
          </cell>
          <cell r="B751" t="str">
            <v>AEROPORTO PRÉ-PLANEJADO EM SEDE DE UTP</v>
          </cell>
          <cell r="C751" t="str">
            <v>SC-016_4216503</v>
          </cell>
          <cell r="D751" t="str">
            <v>SÃO JOAQUIM</v>
          </cell>
          <cell r="E751" t="str">
            <v>SC</v>
          </cell>
          <cell r="F751" t="str">
            <v>û</v>
          </cell>
        </row>
        <row r="752">
          <cell r="A752" t="str">
            <v>SDLP</v>
          </cell>
          <cell r="B752" t="str">
            <v>MUNICIPAL JOSÉ BOSO</v>
          </cell>
          <cell r="C752" t="str">
            <v>SP0034_3526803</v>
          </cell>
          <cell r="D752" t="str">
            <v>LENÇÓIS PAULISTA</v>
          </cell>
          <cell r="E752" t="str">
            <v>SP</v>
          </cell>
          <cell r="F752" t="str">
            <v>û</v>
          </cell>
        </row>
        <row r="753">
          <cell r="A753" t="str">
            <v>N304</v>
          </cell>
          <cell r="B753" t="str">
            <v>AEROPORTO PRÉ-PLANEJADO FORA DE SEDE DE UTP</v>
          </cell>
          <cell r="C753" t="str">
            <v>BA-002_2901007</v>
          </cell>
          <cell r="D753" t="str">
            <v>AMARGOSA</v>
          </cell>
          <cell r="E753" t="str">
            <v>BA</v>
          </cell>
          <cell r="F753" t="str">
            <v>û</v>
          </cell>
        </row>
        <row r="754">
          <cell r="A754" t="str">
            <v>N358</v>
          </cell>
          <cell r="B754" t="str">
            <v>AEROPORTO PRÉ-PLANEJADO EM SEDE DE UTP</v>
          </cell>
          <cell r="C754" t="str">
            <v>SC-013_4213807</v>
          </cell>
          <cell r="D754" t="str">
            <v>PRAIA GRANDE</v>
          </cell>
          <cell r="E754" t="str">
            <v>SC</v>
          </cell>
          <cell r="F754" t="str">
            <v>û</v>
          </cell>
        </row>
        <row r="755">
          <cell r="A755" t="str">
            <v>N236</v>
          </cell>
          <cell r="B755" t="str">
            <v>AEROPORTO PRÉ-PLANEJADO FORA DE SEDE DE UTP</v>
          </cell>
          <cell r="C755" t="str">
            <v>CE-007_2308708</v>
          </cell>
          <cell r="D755" t="str">
            <v>MORADA NOVA</v>
          </cell>
          <cell r="E755" t="str">
            <v>CE</v>
          </cell>
          <cell r="F755" t="str">
            <v>û</v>
          </cell>
        </row>
        <row r="756">
          <cell r="A756" t="str">
            <v>SDJC</v>
          </cell>
          <cell r="B756" t="str">
            <v>JABOTICABAL</v>
          </cell>
          <cell r="C756" t="str">
            <v>SP0064_3524303</v>
          </cell>
          <cell r="D756" t="str">
            <v>JABOTICABAL</v>
          </cell>
          <cell r="E756" t="str">
            <v>SP</v>
          </cell>
          <cell r="F756" t="str">
            <v>û</v>
          </cell>
        </row>
        <row r="757">
          <cell r="A757" t="str">
            <v>N235</v>
          </cell>
          <cell r="B757" t="str">
            <v>AEROPORTO PRÉ-PLANEJADO EM SEDE DE UTP</v>
          </cell>
          <cell r="C757" t="str">
            <v>SP-016_3525300</v>
          </cell>
          <cell r="D757" t="str">
            <v>JAÚ</v>
          </cell>
          <cell r="E757" t="str">
            <v>SP</v>
          </cell>
          <cell r="F757" t="str">
            <v>û</v>
          </cell>
        </row>
        <row r="758">
          <cell r="A758" t="str">
            <v>N592</v>
          </cell>
          <cell r="B758" t="str">
            <v>AEROPORTO PRÉ-PLANEJADO FORA DE SEDE DE UTP</v>
          </cell>
          <cell r="C758" t="str">
            <v>SP-005_3505906</v>
          </cell>
          <cell r="D758" t="str">
            <v>BATATAIS</v>
          </cell>
          <cell r="E758" t="str">
            <v>SP</v>
          </cell>
          <cell r="F758" t="str">
            <v>û</v>
          </cell>
        </row>
        <row r="759">
          <cell r="A759" t="str">
            <v>N566</v>
          </cell>
          <cell r="B759" t="str">
            <v>AEROPORTO PRÉ-PLANEJADO EM SEDE DE UTP</v>
          </cell>
          <cell r="C759" t="str">
            <v>PA-009_1502152</v>
          </cell>
          <cell r="D759" t="str">
            <v>CANAÃ DOS CARAJÁS</v>
          </cell>
          <cell r="E759" t="str">
            <v>PA</v>
          </cell>
          <cell r="F759" t="str">
            <v>û</v>
          </cell>
        </row>
        <row r="760">
          <cell r="A760" t="str">
            <v>N478</v>
          </cell>
          <cell r="B760" t="str">
            <v>AEROPORTO PRÉ-PLANEJADO EM SEDE DE UTP</v>
          </cell>
          <cell r="C760" t="str">
            <v>BA-033_2933208</v>
          </cell>
          <cell r="D760" t="str">
            <v>VERA CRUZ</v>
          </cell>
          <cell r="E760" t="str">
            <v>BA</v>
          </cell>
          <cell r="F760" t="str">
            <v>û</v>
          </cell>
        </row>
        <row r="761">
          <cell r="A761" t="str">
            <v>N101</v>
          </cell>
          <cell r="B761" t="str">
            <v>AEROPORTO PRÉ-PLANEJADO FORA DE SEDE DE UTP</v>
          </cell>
          <cell r="C761" t="str">
            <v>RS-011_4309100</v>
          </cell>
          <cell r="D761" t="str">
            <v>GRAMADO</v>
          </cell>
          <cell r="E761" t="str">
            <v>RS</v>
          </cell>
          <cell r="F761" t="str">
            <v>û</v>
          </cell>
        </row>
        <row r="762">
          <cell r="A762" t="str">
            <v>SNWC</v>
          </cell>
          <cell r="B762" t="str">
            <v>CAMOCIM</v>
          </cell>
          <cell r="C762" t="str">
            <v>CE0011_2302602</v>
          </cell>
          <cell r="D762" t="str">
            <v>CAMOCIM</v>
          </cell>
          <cell r="E762" t="str">
            <v>CE</v>
          </cell>
          <cell r="F762" t="str">
            <v>û</v>
          </cell>
        </row>
        <row r="763">
          <cell r="A763" t="str">
            <v>SNQV</v>
          </cell>
          <cell r="B763" t="str">
            <v>CURVELO</v>
          </cell>
          <cell r="C763" t="str">
            <v>MG0044_3120904</v>
          </cell>
          <cell r="D763" t="str">
            <v>CURVELO</v>
          </cell>
          <cell r="E763" t="str">
            <v>MG</v>
          </cell>
          <cell r="F763" t="str">
            <v>û</v>
          </cell>
        </row>
        <row r="764">
          <cell r="A764" t="str">
            <v>SDRR</v>
          </cell>
          <cell r="B764" t="str">
            <v>AVARÉ-ARANDU</v>
          </cell>
          <cell r="C764" t="str">
            <v>SP0028_3504503</v>
          </cell>
          <cell r="D764" t="str">
            <v>AVARÉ</v>
          </cell>
          <cell r="E764" t="str">
            <v>SP</v>
          </cell>
          <cell r="F764" t="str">
            <v>û</v>
          </cell>
        </row>
        <row r="765">
          <cell r="A765" t="str">
            <v>SNWS</v>
          </cell>
          <cell r="B765" t="str">
            <v>CRATEÚS</v>
          </cell>
          <cell r="C765" t="str">
            <v>CE0005_2304103</v>
          </cell>
          <cell r="D765" t="str">
            <v>CRATEÚS</v>
          </cell>
          <cell r="E765" t="str">
            <v>CE</v>
          </cell>
          <cell r="F765" t="str">
            <v>û</v>
          </cell>
        </row>
        <row r="766">
          <cell r="A766" t="str">
            <v>SBTA</v>
          </cell>
          <cell r="B766" t="str">
            <v>BASE DE AVIAÇÃO DE TAUBATÉ</v>
          </cell>
          <cell r="C766" t="str">
            <v>SP9004_3554102</v>
          </cell>
          <cell r="D766" t="str">
            <v>Taubaté</v>
          </cell>
          <cell r="E766" t="str">
            <v>SP</v>
          </cell>
          <cell r="F766" t="str">
            <v>û</v>
          </cell>
        </row>
        <row r="767">
          <cell r="A767" t="str">
            <v>SBBU</v>
          </cell>
          <cell r="B767" t="str">
            <v>BAURU</v>
          </cell>
          <cell r="C767" t="str">
            <v>SP0017_3506003</v>
          </cell>
          <cell r="D767" t="str">
            <v>BAURU</v>
          </cell>
          <cell r="E767" t="str">
            <v>SP</v>
          </cell>
          <cell r="F767" t="str">
            <v>û</v>
          </cell>
        </row>
        <row r="768">
          <cell r="A768" t="str">
            <v>N238</v>
          </cell>
          <cell r="B768" t="str">
            <v>AEROPORTO PRÉ-PLANEJADO EM SEDE DE UTP</v>
          </cell>
          <cell r="C768" t="str">
            <v>CE-008_2311801</v>
          </cell>
          <cell r="D768" t="str">
            <v>RUSSAS</v>
          </cell>
          <cell r="E768" t="str">
            <v>CE</v>
          </cell>
          <cell r="F768" t="str">
            <v>û</v>
          </cell>
        </row>
        <row r="769">
          <cell r="A769" t="str">
            <v>SBJF</v>
          </cell>
          <cell r="B769" t="str">
            <v>FRANCISCO DE ASSIS</v>
          </cell>
          <cell r="C769" t="str">
            <v>MG0016_3136702</v>
          </cell>
          <cell r="D769" t="str">
            <v>JUIZ DE FORA</v>
          </cell>
          <cell r="E769" t="str">
            <v>MG</v>
          </cell>
          <cell r="F769" t="str">
            <v>û</v>
          </cell>
        </row>
        <row r="770">
          <cell r="A770" t="str">
            <v>N333</v>
          </cell>
          <cell r="B770" t="str">
            <v>AEROPORTO PRÉ-PLANEJADO EM SEDE DE UTP</v>
          </cell>
          <cell r="C770" t="str">
            <v>RJ-017_3303906</v>
          </cell>
          <cell r="D770" t="str">
            <v>PETRÓPOLIS</v>
          </cell>
          <cell r="E770" t="str">
            <v>RJ</v>
          </cell>
          <cell r="F770" t="str">
            <v>û</v>
          </cell>
        </row>
        <row r="771">
          <cell r="A771" t="str">
            <v>SSOS</v>
          </cell>
          <cell r="B771" t="str">
            <v>OSÓRIO</v>
          </cell>
          <cell r="C771" t="str">
            <v>RS0042_4313508</v>
          </cell>
          <cell r="D771" t="str">
            <v>OSÓRIO</v>
          </cell>
          <cell r="E771" t="str">
            <v>RS</v>
          </cell>
          <cell r="F771" t="str">
            <v>û</v>
          </cell>
        </row>
        <row r="772">
          <cell r="A772" t="str">
            <v>SSAQ</v>
          </cell>
          <cell r="B772" t="str">
            <v>AEROCLUBE DE PASSO FUNDO</v>
          </cell>
          <cell r="C772" t="str">
            <v>RS0036_4314100</v>
          </cell>
          <cell r="D772" t="str">
            <v>PASSO FUNDO</v>
          </cell>
          <cell r="E772" t="str">
            <v>RS</v>
          </cell>
          <cell r="F772" t="str">
            <v>û</v>
          </cell>
        </row>
        <row r="773">
          <cell r="A773" t="str">
            <v>N404</v>
          </cell>
          <cell r="B773" t="str">
            <v>AEROPORTO PRÉ-PLANEJADO EM SEDE DE UTP</v>
          </cell>
          <cell r="C773" t="str">
            <v>SC-014_4215802</v>
          </cell>
          <cell r="D773" t="str">
            <v>SÃO BENTO DO SUL</v>
          </cell>
          <cell r="E773" t="str">
            <v>SC</v>
          </cell>
          <cell r="F773" t="str">
            <v>û</v>
          </cell>
        </row>
        <row r="774">
          <cell r="A774" t="str">
            <v>SBLS</v>
          </cell>
          <cell r="B774" t="str">
            <v>LAGOA SANTA</v>
          </cell>
          <cell r="C774" t="str">
            <v>MG9001_3137601</v>
          </cell>
          <cell r="D774" t="str">
            <v>Lagoa Santa</v>
          </cell>
          <cell r="E774" t="str">
            <v>MG</v>
          </cell>
          <cell r="F774" t="str">
            <v>û</v>
          </cell>
        </row>
        <row r="775">
          <cell r="A775" t="str">
            <v>SNQX</v>
          </cell>
          <cell r="B775" t="str">
            <v>QUIXADÁ</v>
          </cell>
          <cell r="C775" t="str">
            <v>CE0010_2311306</v>
          </cell>
          <cell r="D775" t="str">
            <v>QUIXADÁ</v>
          </cell>
          <cell r="E775" t="str">
            <v>CE</v>
          </cell>
          <cell r="F775" t="str">
            <v>û</v>
          </cell>
        </row>
        <row r="776">
          <cell r="A776" t="str">
            <v>SDTF</v>
          </cell>
          <cell r="B776" t="str">
            <v>TATUÍ</v>
          </cell>
          <cell r="C776" t="str">
            <v>SP0050_3554003</v>
          </cell>
          <cell r="D776" t="str">
            <v>TATUÍ</v>
          </cell>
          <cell r="E776" t="str">
            <v>SP</v>
          </cell>
          <cell r="F776" t="str">
            <v>û</v>
          </cell>
        </row>
        <row r="777">
          <cell r="A777" t="str">
            <v>N072</v>
          </cell>
          <cell r="B777" t="str">
            <v>AEROPORTO PRÉ-PLANEJADO EM SEDE DE UTP</v>
          </cell>
          <cell r="C777" t="str">
            <v>SP-006_3507001</v>
          </cell>
          <cell r="D777" t="str">
            <v>BOITUVA</v>
          </cell>
          <cell r="E777" t="str">
            <v>SP</v>
          </cell>
          <cell r="F777" t="str">
            <v>û</v>
          </cell>
        </row>
        <row r="778">
          <cell r="A778" t="str">
            <v>N733</v>
          </cell>
          <cell r="B778" t="str">
            <v>AEROPORTO PRÉ-PLANEJADO EM SEDE DE UTP</v>
          </cell>
          <cell r="C778" t="str">
            <v>SC-010_4209409</v>
          </cell>
          <cell r="D778" t="str">
            <v>LAGUNA</v>
          </cell>
          <cell r="E778" t="str">
            <v>SC</v>
          </cell>
          <cell r="F778" t="str">
            <v>û</v>
          </cell>
        </row>
        <row r="779">
          <cell r="A779" t="str">
            <v>SSSS</v>
          </cell>
          <cell r="B779" t="str">
            <v>SÃO FRANCISCO DO SUL</v>
          </cell>
          <cell r="C779" t="str">
            <v>SC0022_4216206</v>
          </cell>
          <cell r="D779" t="str">
            <v>SÃO FRANCISCO DO SUL</v>
          </cell>
          <cell r="E779" t="str">
            <v>SC</v>
          </cell>
          <cell r="F779" t="str">
            <v>û</v>
          </cell>
        </row>
        <row r="780">
          <cell r="A780" t="str">
            <v>SSKK</v>
          </cell>
          <cell r="B780" t="str">
            <v>CAPÃO DA CANOA</v>
          </cell>
          <cell r="C780" t="str">
            <v>RS0052_4304630</v>
          </cell>
          <cell r="D780" t="str">
            <v>CAPÃO DA CANOA</v>
          </cell>
          <cell r="E780" t="str">
            <v>RS</v>
          </cell>
          <cell r="F780" t="str">
            <v>û</v>
          </cell>
        </row>
        <row r="781">
          <cell r="A781" t="str">
            <v>N176</v>
          </cell>
          <cell r="B781" t="str">
            <v>AEROPORTO PRÉ-PLANEJADO EM SEDE DE UTP</v>
          </cell>
          <cell r="C781" t="str">
            <v>SC-005_4207304</v>
          </cell>
          <cell r="D781" t="str">
            <v>IMBITUBA</v>
          </cell>
          <cell r="E781" t="str">
            <v>SC</v>
          </cell>
          <cell r="F781" t="str">
            <v>û</v>
          </cell>
        </row>
        <row r="782">
          <cell r="A782" t="str">
            <v>N007</v>
          </cell>
          <cell r="B782" t="str">
            <v>AEROPORTO PRÉ-PLANEJADO EM SEDE DE UTP</v>
          </cell>
          <cell r="C782" t="str">
            <v>SP-001_3500501</v>
          </cell>
          <cell r="D782" t="str">
            <v>ÁGUAS DE LINDÓIA</v>
          </cell>
          <cell r="E782" t="str">
            <v>SP</v>
          </cell>
          <cell r="F782" t="str">
            <v>û</v>
          </cell>
        </row>
        <row r="783">
          <cell r="A783" t="str">
            <v>N219</v>
          </cell>
          <cell r="B783" t="str">
            <v>AEROPORTO PRÉ-PLANEJADO EM SEDE DE UTP</v>
          </cell>
          <cell r="C783" t="str">
            <v>CE-003_2306405</v>
          </cell>
          <cell r="D783" t="str">
            <v>ITAPIPOCA</v>
          </cell>
          <cell r="E783" t="str">
            <v>CE</v>
          </cell>
          <cell r="F783" t="str">
            <v>û</v>
          </cell>
        </row>
        <row r="784">
          <cell r="A784" t="str">
            <v>N083</v>
          </cell>
          <cell r="B784" t="str">
            <v>AEROPORTO PRÉ-PLANEJADO EM SEDE DE UTP</v>
          </cell>
          <cell r="C784" t="str">
            <v>SC-002_4202909</v>
          </cell>
          <cell r="D784" t="str">
            <v>BRUSQUE</v>
          </cell>
          <cell r="E784" t="str">
            <v>SC</v>
          </cell>
          <cell r="F784" t="str">
            <v>û</v>
          </cell>
        </row>
        <row r="785">
          <cell r="A785" t="str">
            <v>N233</v>
          </cell>
          <cell r="B785" t="str">
            <v>AEROPORTO PRÉ-PLANEJADO EM SEDE DE UTP</v>
          </cell>
          <cell r="C785" t="str">
            <v>SC-009_4208906</v>
          </cell>
          <cell r="D785" t="str">
            <v>JARAGUÁ DO SUL</v>
          </cell>
          <cell r="E785" t="str">
            <v>SC</v>
          </cell>
          <cell r="F785" t="str">
            <v>û</v>
          </cell>
        </row>
        <row r="786">
          <cell r="A786" t="str">
            <v>N115</v>
          </cell>
          <cell r="B786" t="str">
            <v>AEROPORTO PRÉ-PLANEJADO EM SEDE DE UTP</v>
          </cell>
          <cell r="C786" t="str">
            <v>PA-010_1502400</v>
          </cell>
          <cell r="D786" t="str">
            <v>CASTANHAL</v>
          </cell>
          <cell r="E786" t="str">
            <v>PA</v>
          </cell>
          <cell r="F786" t="str">
            <v>û</v>
          </cell>
        </row>
        <row r="787">
          <cell r="A787" t="str">
            <v>N150</v>
          </cell>
          <cell r="B787" t="str">
            <v>AEROPORTO PRÉ-PLANEJADO EM SEDE DE UTP</v>
          </cell>
          <cell r="C787" t="str">
            <v>BA-016_2910727</v>
          </cell>
          <cell r="D787" t="str">
            <v>EUNÁPOLIS</v>
          </cell>
          <cell r="E787" t="str">
            <v>BA</v>
          </cell>
          <cell r="F787" t="str">
            <v>û</v>
          </cell>
        </row>
        <row r="788">
          <cell r="A788" t="str">
            <v>SBNT</v>
          </cell>
          <cell r="B788" t="str">
            <v>CAMPO AUGUSTO SEVERO</v>
          </cell>
          <cell r="C788" t="str">
            <v>RN9001_2408102</v>
          </cell>
          <cell r="D788" t="str">
            <v>NATAL</v>
          </cell>
          <cell r="E788" t="str">
            <v>RN</v>
          </cell>
          <cell r="F788" t="str">
            <v>û</v>
          </cell>
        </row>
        <row r="789">
          <cell r="A789" t="str">
            <v>N366</v>
          </cell>
          <cell r="B789" t="str">
            <v>AEROPORTO PRÉ-PLANEJADO FORA DE SEDE DE UTP</v>
          </cell>
          <cell r="C789" t="str">
            <v>CE-002_2302800</v>
          </cell>
          <cell r="D789" t="str">
            <v>CANINDÉ</v>
          </cell>
          <cell r="E789" t="str">
            <v>CE</v>
          </cell>
          <cell r="F789" t="str">
            <v>û</v>
          </cell>
        </row>
        <row r="790">
          <cell r="A790" t="str">
            <v>N016</v>
          </cell>
          <cell r="B790" t="str">
            <v>AEROPORTO PRÉ-PLANEJADO EM SEDE DE UTP</v>
          </cell>
          <cell r="C790" t="str">
            <v>SP-002_3501905</v>
          </cell>
          <cell r="D790" t="str">
            <v>AMPARO</v>
          </cell>
          <cell r="E790" t="str">
            <v>SP</v>
          </cell>
          <cell r="F790" t="str">
            <v>û</v>
          </cell>
        </row>
        <row r="791">
          <cell r="A791" t="str">
            <v>N264</v>
          </cell>
          <cell r="B791" t="str">
            <v>AEROPORTO PRÉ-PLANEJADO EM SEDE DE UTP</v>
          </cell>
          <cell r="C791" t="str">
            <v>AP-003_1600303</v>
          </cell>
          <cell r="D791" t="str">
            <v>MACAPÁ</v>
          </cell>
          <cell r="E791" t="str">
            <v>AP</v>
          </cell>
          <cell r="F791" t="str">
            <v>û</v>
          </cell>
        </row>
        <row r="792">
          <cell r="A792" t="str">
            <v>N263</v>
          </cell>
          <cell r="B792" t="str">
            <v>AEROPORTO PRÉ-PLANEJADO EM SEDE DE UTP</v>
          </cell>
          <cell r="C792" t="str">
            <v>PB-006_2507507</v>
          </cell>
          <cell r="D792" t="str">
            <v>JOÃO PESSOA</v>
          </cell>
          <cell r="E792" t="str">
            <v>PB</v>
          </cell>
          <cell r="F792" t="str">
            <v>û</v>
          </cell>
        </row>
        <row r="793">
          <cell r="A793" t="str">
            <v>SDIM</v>
          </cell>
          <cell r="B793" t="str">
            <v>DR. ANTONIO RIBEIRO NOGUEIRA JÚNIOR</v>
          </cell>
          <cell r="C793" t="str">
            <v>SP0033_3522109</v>
          </cell>
          <cell r="D793" t="str">
            <v>ITANHAÉM</v>
          </cell>
          <cell r="E793" t="str">
            <v>SP</v>
          </cell>
          <cell r="F793" t="str">
            <v>û</v>
          </cell>
        </row>
        <row r="794">
          <cell r="A794" t="str">
            <v>SSIM</v>
          </cell>
          <cell r="B794" t="str">
            <v>FORQUILHINHA-CRICIÚMA</v>
          </cell>
          <cell r="C794" t="str">
            <v>SC0009_4205456</v>
          </cell>
          <cell r="D794" t="str">
            <v>FORQUILHINHA</v>
          </cell>
          <cell r="E794" t="str">
            <v>SC</v>
          </cell>
          <cell r="F794" t="str">
            <v>û</v>
          </cell>
        </row>
        <row r="795">
          <cell r="A795" t="str">
            <v>N259</v>
          </cell>
          <cell r="B795" t="str">
            <v>AEROPORTO PRÉ-PLANEJADO EM SEDE DE UTP</v>
          </cell>
          <cell r="C795" t="str">
            <v>SP-017_3526902</v>
          </cell>
          <cell r="D795" t="str">
            <v>LIMEIRA</v>
          </cell>
          <cell r="E795" t="str">
            <v>SP</v>
          </cell>
          <cell r="F795" t="str">
            <v>û</v>
          </cell>
        </row>
        <row r="796">
          <cell r="A796" t="str">
            <v>N217</v>
          </cell>
          <cell r="B796" t="str">
            <v>AEROPORTO PRÉ-PLANEJADO EM SEDE DE UTP</v>
          </cell>
          <cell r="C796" t="str">
            <v>SC-007_4208302</v>
          </cell>
          <cell r="D796" t="str">
            <v>ITAPEMA</v>
          </cell>
          <cell r="E796" t="str">
            <v>SC</v>
          </cell>
          <cell r="F796" t="str">
            <v>û</v>
          </cell>
        </row>
        <row r="797">
          <cell r="A797" t="str">
            <v>N410</v>
          </cell>
          <cell r="B797" t="str">
            <v>AEROPORTO PRÉ-PLANEJADO EM SEDE DE UTP</v>
          </cell>
          <cell r="C797" t="str">
            <v>BA-034_2933307</v>
          </cell>
          <cell r="D797" t="str">
            <v>VITÓRIA DA CONQUISTA</v>
          </cell>
          <cell r="E797" t="str">
            <v>BA</v>
          </cell>
          <cell r="F797" t="str">
            <v>û</v>
          </cell>
        </row>
        <row r="798">
          <cell r="A798" t="str">
            <v>N099</v>
          </cell>
          <cell r="B798" t="str">
            <v>AEROPORTO PRÉ-PLANEJADO EM SEDE DE UTP</v>
          </cell>
          <cell r="C798" t="str">
            <v>PA-013_1502939</v>
          </cell>
          <cell r="D798" t="str">
            <v>DOM ELISEU</v>
          </cell>
          <cell r="E798" t="str">
            <v>PA</v>
          </cell>
          <cell r="F798" t="str">
            <v>û</v>
          </cell>
        </row>
        <row r="799">
          <cell r="A799" t="str">
            <v>SWRO</v>
          </cell>
          <cell r="B799" t="str">
            <v>AEROCLUBE DE RONDÔNIA</v>
          </cell>
          <cell r="C799" t="str">
            <v>RO0002_1100205</v>
          </cell>
          <cell r="D799" t="str">
            <v>PORTO VELHO</v>
          </cell>
          <cell r="E799" t="str">
            <v>RO</v>
          </cell>
          <cell r="F799" t="str">
            <v>û</v>
          </cell>
        </row>
        <row r="800">
          <cell r="A800" t="str">
            <v>N224</v>
          </cell>
          <cell r="B800" t="str">
            <v>AEROPORTO PRÉ-PLANEJADO EM SEDE DE UTP</v>
          </cell>
          <cell r="C800" t="str">
            <v>SP-015_3523909</v>
          </cell>
          <cell r="D800" t="str">
            <v>ITU</v>
          </cell>
          <cell r="E800" t="str">
            <v>SP</v>
          </cell>
          <cell r="F800" t="str">
            <v>û</v>
          </cell>
        </row>
        <row r="801">
          <cell r="A801" t="str">
            <v>N221</v>
          </cell>
          <cell r="B801" t="str">
            <v>AEROPORTO PRÉ-PLANEJADO EM SEDE DE UTP</v>
          </cell>
          <cell r="C801" t="str">
            <v>SP-014_3523404</v>
          </cell>
          <cell r="D801" t="str">
            <v>ITATIBA</v>
          </cell>
          <cell r="E801" t="str">
            <v>SP</v>
          </cell>
          <cell r="F801" t="str">
            <v>û</v>
          </cell>
        </row>
        <row r="802">
          <cell r="A802" t="str">
            <v>N431</v>
          </cell>
          <cell r="B802" t="str">
            <v>AEROPORTO PRÉ-PLANEJADO EM SEDE DE UTP</v>
          </cell>
          <cell r="C802" t="str">
            <v>MG-039_3167202</v>
          </cell>
          <cell r="D802" t="str">
            <v>SETE LAGOAS</v>
          </cell>
          <cell r="E802" t="str">
            <v>MG</v>
          </cell>
          <cell r="F802" t="str">
            <v>û</v>
          </cell>
        </row>
        <row r="803">
          <cell r="A803" t="str">
            <v>N423</v>
          </cell>
          <cell r="B803" t="str">
            <v>AEROPORTO PRÉ-PLANEJADO EM SEDE DE UTP</v>
          </cell>
          <cell r="C803" t="str">
            <v>MG-004_3106200</v>
          </cell>
          <cell r="D803" t="str">
            <v>BELO HORIZONTE</v>
          </cell>
          <cell r="E803" t="str">
            <v>MG</v>
          </cell>
          <cell r="F803" t="str">
            <v>û</v>
          </cell>
        </row>
        <row r="804">
          <cell r="A804" t="str">
            <v>N090</v>
          </cell>
          <cell r="B804" t="str">
            <v>AEROPORTO PRÉ-PLANEJADO EM SEDE DE UTP</v>
          </cell>
          <cell r="C804" t="str">
            <v>PA-005_1501402</v>
          </cell>
          <cell r="D804" t="str">
            <v>BELÉM</v>
          </cell>
          <cell r="E804" t="str">
            <v>PA</v>
          </cell>
          <cell r="F804" t="str">
            <v>û</v>
          </cell>
        </row>
        <row r="805">
          <cell r="A805" t="str">
            <v>SBMN</v>
          </cell>
          <cell r="B805" t="str">
            <v>CAMPO PONTA PELADA</v>
          </cell>
          <cell r="C805" t="str">
            <v>AM9001_1302603</v>
          </cell>
          <cell r="D805" t="str">
            <v>Manaus</v>
          </cell>
          <cell r="E805" t="str">
            <v>AM</v>
          </cell>
          <cell r="F805" t="str">
            <v>û</v>
          </cell>
        </row>
        <row r="806">
          <cell r="A806" t="str">
            <v>SBCO</v>
          </cell>
          <cell r="B806" t="str">
            <v>CAMPO NOSSA SENHORA DE FÁTIMA</v>
          </cell>
          <cell r="C806" t="str">
            <v>RS9002_4304606</v>
          </cell>
          <cell r="D806" t="str">
            <v>CANOAS</v>
          </cell>
          <cell r="E806" t="str">
            <v>RS</v>
          </cell>
          <cell r="F806" t="str">
            <v>û</v>
          </cell>
        </row>
        <row r="807">
          <cell r="A807" t="str">
            <v>SDMR</v>
          </cell>
          <cell r="B807" t="str">
            <v>MARAMBAIA</v>
          </cell>
          <cell r="C807" t="str">
            <v>RJ9005_3304557</v>
          </cell>
          <cell r="D807" t="str">
            <v>RIO DE JANEIRO</v>
          </cell>
          <cell r="E807" t="str">
            <v>RJ</v>
          </cell>
          <cell r="F807" t="str">
            <v>û</v>
          </cell>
        </row>
        <row r="808">
          <cell r="A808" t="str">
            <v>SBSC</v>
          </cell>
          <cell r="B808" t="str">
            <v>CAMPO NERO MOURA</v>
          </cell>
          <cell r="C808" t="str">
            <v>RJ9003_3304557</v>
          </cell>
          <cell r="D808" t="str">
            <v>RIO DE JANEIRO</v>
          </cell>
          <cell r="E808" t="str">
            <v>RJ</v>
          </cell>
          <cell r="F808" t="str">
            <v>û</v>
          </cell>
        </row>
        <row r="809">
          <cell r="A809" t="str">
            <v>SBAF</v>
          </cell>
          <cell r="B809" t="str">
            <v>CAMPO DÉLIO JARDIM DE MATTOS</v>
          </cell>
          <cell r="C809" t="str">
            <v>RJ9002_3304557</v>
          </cell>
          <cell r="D809" t="str">
            <v>RIO DE JANEIRO</v>
          </cell>
          <cell r="E809" t="str">
            <v>RJ</v>
          </cell>
          <cell r="F809" t="str">
            <v>û</v>
          </cell>
        </row>
        <row r="810">
          <cell r="A810" t="str">
            <v>N941</v>
          </cell>
          <cell r="B810" t="str">
            <v>AEROPORTO PRÉ-PLANEJADO EM SEDE DE UTP</v>
          </cell>
          <cell r="C810" t="str">
            <v>DF-001_5300108</v>
          </cell>
          <cell r="D810" t="str">
            <v>BRASÍLIA</v>
          </cell>
          <cell r="E810" t="str">
            <v>DF</v>
          </cell>
          <cell r="F810" t="str">
            <v>û</v>
          </cell>
        </row>
        <row r="811">
          <cell r="A811" t="str">
            <v>SJOD</v>
          </cell>
          <cell r="B811" t="str">
            <v>JORDÃO</v>
          </cell>
          <cell r="C811" t="str">
            <v>AC0009_1200328</v>
          </cell>
          <cell r="D811" t="str">
            <v>JORDÃO</v>
          </cell>
          <cell r="E811" t="str">
            <v>AC</v>
          </cell>
          <cell r="F811" t="str">
            <v>û</v>
          </cell>
        </row>
        <row r="812">
          <cell r="A812" t="str">
            <v>SNRH</v>
          </cell>
          <cell r="B812" t="str">
            <v>JOÃO FONSECA</v>
          </cell>
          <cell r="C812" t="str">
            <v>AM0039_1301506</v>
          </cell>
          <cell r="D812" t="str">
            <v>ENVIRA</v>
          </cell>
          <cell r="E812" t="str">
            <v>AM</v>
          </cell>
          <cell r="F812" t="str">
            <v>û</v>
          </cell>
        </row>
        <row r="813">
          <cell r="A813" t="str">
            <v>SD8C</v>
          </cell>
          <cell r="B813" t="str">
            <v>GOVERNADOR JOSÉ B. LINDOSO</v>
          </cell>
          <cell r="C813" t="str">
            <v>AM0098_1301803</v>
          </cell>
          <cell r="D813" t="str">
            <v>IPIXUNA</v>
          </cell>
          <cell r="E813" t="str">
            <v>AM</v>
          </cell>
          <cell r="F813" t="str">
            <v>û</v>
          </cell>
        </row>
        <row r="814">
          <cell r="A814" t="str">
            <v>SSSM</v>
          </cell>
          <cell r="B814" t="str">
            <v>MATHEUS LOPES MAIA DA SILVA</v>
          </cell>
          <cell r="C814" t="str">
            <v>AM0091_1301951</v>
          </cell>
          <cell r="D814" t="str">
            <v>ITAMARATI</v>
          </cell>
          <cell r="E814" t="str">
            <v>AM</v>
          </cell>
          <cell r="F814" t="str">
            <v>û</v>
          </cell>
        </row>
        <row r="815">
          <cell r="A815" t="str">
            <v>SDC8</v>
          </cell>
          <cell r="B815" t="str">
            <v>JAPURÁ</v>
          </cell>
          <cell r="C815" t="str">
            <v>AM0102_1302108</v>
          </cell>
          <cell r="D815" t="str">
            <v>JAPURÁ</v>
          </cell>
          <cell r="E815" t="str">
            <v>AM</v>
          </cell>
          <cell r="F815" t="str">
            <v>û</v>
          </cell>
        </row>
        <row r="816">
          <cell r="A816" t="str">
            <v>SDLR</v>
          </cell>
          <cell r="B816" t="str">
            <v>LUIZ RIBEIRO MAIA</v>
          </cell>
          <cell r="C816" t="str">
            <v>AM0030_1304104</v>
          </cell>
          <cell r="D816" t="str">
            <v>TAPAUÁ</v>
          </cell>
          <cell r="E816" t="str">
            <v>AM</v>
          </cell>
          <cell r="F816" t="str">
            <v>û</v>
          </cell>
        </row>
        <row r="817">
          <cell r="A817" t="str">
            <v>SSRA</v>
          </cell>
          <cell r="B817" t="str">
            <v>SANTA ROSA DO PURUS</v>
          </cell>
          <cell r="C817" t="str">
            <v>AC0011_1200435</v>
          </cell>
          <cell r="D817" t="str">
            <v>SANTA ROSA DO PURUS</v>
          </cell>
          <cell r="E817" t="str">
            <v>AC</v>
          </cell>
          <cell r="F817" t="str">
            <v>û</v>
          </cell>
        </row>
        <row r="818">
          <cell r="A818" t="str">
            <v>SSGY</v>
          </cell>
          <cell r="B818" t="str">
            <v>GUAÍRA</v>
          </cell>
          <cell r="C818" t="str">
            <v>PR0023_4108809</v>
          </cell>
          <cell r="D818" t="str">
            <v>GUAÍRA</v>
          </cell>
          <cell r="E818" t="str">
            <v>PR</v>
          </cell>
          <cell r="F818" t="str">
            <v>û</v>
          </cell>
        </row>
        <row r="819">
          <cell r="A819" t="str">
            <v>SSUM</v>
          </cell>
          <cell r="B819" t="str">
            <v>ORLANDO DE CARVALHO</v>
          </cell>
          <cell r="C819" t="str">
            <v>PR0019_4128104</v>
          </cell>
          <cell r="D819" t="str">
            <v>UMUARAMA</v>
          </cell>
          <cell r="E819" t="str">
            <v>PR</v>
          </cell>
          <cell r="F819" t="str">
            <v>û</v>
          </cell>
        </row>
        <row r="820">
          <cell r="A820" t="str">
            <v>SJNP</v>
          </cell>
          <cell r="B820" t="str">
            <v>NOVO PROGRESSO</v>
          </cell>
          <cell r="C820" t="str">
            <v>PA0026_1505031</v>
          </cell>
          <cell r="D820" t="str">
            <v>NOVO PROGRESSO</v>
          </cell>
          <cell r="E820" t="str">
            <v>PA</v>
          </cell>
          <cell r="F820" t="str">
            <v>û</v>
          </cell>
        </row>
        <row r="821">
          <cell r="A821" t="str">
            <v>SWOB</v>
          </cell>
          <cell r="B821" t="str">
            <v>FONTE BOA</v>
          </cell>
          <cell r="C821" t="str">
            <v>AM0014_1301605</v>
          </cell>
          <cell r="D821" t="str">
            <v>FONTE BOA</v>
          </cell>
          <cell r="E821" t="str">
            <v>AM</v>
          </cell>
          <cell r="F821" t="str">
            <v>û</v>
          </cell>
        </row>
        <row r="822">
          <cell r="A822" t="str">
            <v>SNPD</v>
          </cell>
          <cell r="B822" t="str">
            <v>PATOS DE MINAS</v>
          </cell>
          <cell r="C822" t="str">
            <v>MG0010_3148004</v>
          </cell>
          <cell r="D822" t="str">
            <v>PATOS DE MINAS</v>
          </cell>
          <cell r="E822" t="str">
            <v>MG</v>
          </cell>
          <cell r="F822" t="str">
            <v>û</v>
          </cell>
        </row>
        <row r="823">
          <cell r="A823" t="str">
            <v>SWPY</v>
          </cell>
          <cell r="B823" t="str">
            <v>PRIMAVERA DO LESTE</v>
          </cell>
          <cell r="C823" t="str">
            <v>MT0023_5107040</v>
          </cell>
          <cell r="D823" t="str">
            <v>PRIMAVERA DO LESTE</v>
          </cell>
          <cell r="E823" t="str">
            <v>MT</v>
          </cell>
          <cell r="F823" t="str">
            <v>û</v>
          </cell>
        </row>
        <row r="824">
          <cell r="A824" t="str">
            <v>SDCG</v>
          </cell>
          <cell r="B824" t="str">
            <v>SENADORA EUNICE MICHILES</v>
          </cell>
          <cell r="C824" t="str">
            <v>AM0016_1303908</v>
          </cell>
          <cell r="D824" t="str">
            <v>SÃO PAULO DE OLIVENÇA</v>
          </cell>
          <cell r="E824" t="str">
            <v>AM</v>
          </cell>
          <cell r="F824" t="str">
            <v>û</v>
          </cell>
        </row>
        <row r="825">
          <cell r="A825" t="str">
            <v>SWTP</v>
          </cell>
          <cell r="B825" t="str">
            <v>SANTA ISABEL DO RIO NEGRO</v>
          </cell>
          <cell r="C825" t="str">
            <v>AM0022_1303601</v>
          </cell>
          <cell r="D825" t="str">
            <v>SANTA ISABEL DO RIO NEGRO</v>
          </cell>
          <cell r="E825" t="str">
            <v>AM</v>
          </cell>
          <cell r="F825" t="str">
            <v>û</v>
          </cell>
        </row>
        <row r="826">
          <cell r="A826" t="str">
            <v>SWII</v>
          </cell>
          <cell r="B826" t="str">
            <v>IPIRANGA</v>
          </cell>
          <cell r="C826" t="str">
            <v>AM0013_1303700</v>
          </cell>
          <cell r="D826" t="str">
            <v>SANTO ANTÔNIO DO IÇÁ</v>
          </cell>
          <cell r="E826" t="str">
            <v>AM</v>
          </cell>
          <cell r="F826" t="str">
            <v>û</v>
          </cell>
        </row>
        <row r="827">
          <cell r="A827" t="str">
            <v>SDP8</v>
          </cell>
          <cell r="B827" t="str">
            <v>MARECHAL THAUMATURGO</v>
          </cell>
          <cell r="C827" t="str">
            <v>AC0010_1200351</v>
          </cell>
          <cell r="D827" t="str">
            <v>MARECHAL THAUMATURGO</v>
          </cell>
          <cell r="E827" t="str">
            <v>AC</v>
          </cell>
          <cell r="F827" t="str">
            <v>û</v>
          </cell>
        </row>
        <row r="828">
          <cell r="A828" t="str">
            <v>SNGG</v>
          </cell>
          <cell r="B828" t="str">
            <v>BOM JESUS DO GURGUÉIA</v>
          </cell>
          <cell r="C828" t="str">
            <v>PI0007_2201903</v>
          </cell>
          <cell r="D828" t="str">
            <v>BOM JESUS</v>
          </cell>
          <cell r="E828" t="str">
            <v>PI</v>
          </cell>
          <cell r="F828" t="str">
            <v>û</v>
          </cell>
        </row>
        <row r="829">
          <cell r="A829" t="str">
            <v>SDH2</v>
          </cell>
          <cell r="B829" t="str">
            <v>PORTO ALEGRE DO NORTE</v>
          </cell>
          <cell r="C829" t="str">
            <v>MT0662_5106778</v>
          </cell>
          <cell r="D829" t="str">
            <v>Porto Alegre do Norte</v>
          </cell>
          <cell r="E829" t="str">
            <v>MT</v>
          </cell>
          <cell r="F829" t="str">
            <v>ü</v>
          </cell>
          <cell r="G829" t="str">
            <v>Adequação</v>
          </cell>
          <cell r="H829">
            <v>0</v>
          </cell>
          <cell r="I829">
            <v>140000</v>
          </cell>
          <cell r="J829">
            <v>3025000</v>
          </cell>
          <cell r="K829">
            <v>0</v>
          </cell>
          <cell r="L829">
            <v>555000</v>
          </cell>
          <cell r="M829">
            <v>0</v>
          </cell>
          <cell r="N829">
            <v>2175000</v>
          </cell>
          <cell r="O829">
            <v>0</v>
          </cell>
          <cell r="P829">
            <v>255000</v>
          </cell>
          <cell r="Q829">
            <v>0</v>
          </cell>
        </row>
        <row r="830">
          <cell r="A830" t="str">
            <v>SSUV</v>
          </cell>
          <cell r="B830" t="str">
            <v>JOSÉ CLETO</v>
          </cell>
          <cell r="C830" t="str">
            <v>PR0034_4128203</v>
          </cell>
          <cell r="D830" t="str">
            <v>UNIÃO DA VITÓRIA</v>
          </cell>
          <cell r="E830" t="str">
            <v>PR</v>
          </cell>
          <cell r="F830" t="str">
            <v>û</v>
          </cell>
        </row>
        <row r="831">
          <cell r="A831" t="str">
            <v>SWIA</v>
          </cell>
          <cell r="B831" t="str">
            <v>ANTÔNIO COSTA DA SILVA</v>
          </cell>
          <cell r="C831" t="str">
            <v>AM0088_1302207</v>
          </cell>
          <cell r="D831" t="str">
            <v>JURUÁ</v>
          </cell>
          <cell r="E831" t="str">
            <v>AM</v>
          </cell>
          <cell r="F831" t="str">
            <v>û</v>
          </cell>
        </row>
        <row r="832">
          <cell r="A832" t="str">
            <v>SBEK</v>
          </cell>
          <cell r="B832" t="str">
            <v>JACAREACANGA</v>
          </cell>
          <cell r="C832" t="str">
            <v>PA0011_1503754</v>
          </cell>
          <cell r="D832" t="str">
            <v>JACAREACANGA</v>
          </cell>
          <cell r="E832" t="str">
            <v>PA</v>
          </cell>
          <cell r="F832" t="str">
            <v>û</v>
          </cell>
        </row>
        <row r="833">
          <cell r="A833" t="str">
            <v>SNGN</v>
          </cell>
          <cell r="B833" t="str">
            <v>GARANHUNS</v>
          </cell>
          <cell r="C833" t="str">
            <v>PE0006_2606002</v>
          </cell>
          <cell r="D833" t="str">
            <v>GARANHUNS</v>
          </cell>
          <cell r="E833" t="str">
            <v>PE</v>
          </cell>
          <cell r="F833" t="str">
            <v>ü</v>
          </cell>
          <cell r="G833" t="str">
            <v>Adequação</v>
          </cell>
          <cell r="H833">
            <v>0</v>
          </cell>
          <cell r="I833">
            <v>145000</v>
          </cell>
          <cell r="J833">
            <v>0</v>
          </cell>
          <cell r="K833">
            <v>0</v>
          </cell>
          <cell r="L833">
            <v>2725000</v>
          </cell>
          <cell r="M833">
            <v>0</v>
          </cell>
          <cell r="N833">
            <v>310000</v>
          </cell>
          <cell r="O833">
            <v>0</v>
          </cell>
          <cell r="P833">
            <v>245000</v>
          </cell>
          <cell r="Q833">
            <v>0</v>
          </cell>
        </row>
        <row r="834">
          <cell r="A834" t="str">
            <v>SWYN</v>
          </cell>
          <cell r="B834" t="str">
            <v>APUÍ</v>
          </cell>
          <cell r="C834" t="str">
            <v>AM0023_1300144</v>
          </cell>
          <cell r="D834" t="str">
            <v>APUÍ</v>
          </cell>
          <cell r="E834" t="str">
            <v>AM</v>
          </cell>
          <cell r="F834" t="str">
            <v>û</v>
          </cell>
        </row>
        <row r="835">
          <cell r="A835" t="str">
            <v>SNBC</v>
          </cell>
          <cell r="B835" t="str">
            <v>BARRA DO CORDA</v>
          </cell>
          <cell r="C835" t="str">
            <v>MA0006_2101608</v>
          </cell>
          <cell r="D835" t="str">
            <v>BARRA DO CORDA</v>
          </cell>
          <cell r="E835" t="str">
            <v>MA</v>
          </cell>
          <cell r="F835" t="str">
            <v>û</v>
          </cell>
        </row>
        <row r="836">
          <cell r="A836" t="str">
            <v>SWUZ</v>
          </cell>
          <cell r="B836" t="str">
            <v>BRIGADEIRO ARARIPE MACEDO</v>
          </cell>
          <cell r="C836" t="str">
            <v>GO0025_5212501</v>
          </cell>
          <cell r="D836" t="str">
            <v>LUZIÂNIA</v>
          </cell>
          <cell r="E836" t="str">
            <v>GO</v>
          </cell>
          <cell r="F836" t="str">
            <v>û</v>
          </cell>
        </row>
        <row r="837">
          <cell r="A837" t="str">
            <v>SWWA</v>
          </cell>
          <cell r="B837" t="str">
            <v>PORANGATU</v>
          </cell>
          <cell r="C837" t="str">
            <v>GO0012_5218003</v>
          </cell>
          <cell r="D837" t="str">
            <v>PORANGATU</v>
          </cell>
          <cell r="E837" t="str">
            <v>GO</v>
          </cell>
          <cell r="F837" t="str">
            <v>û</v>
          </cell>
        </row>
        <row r="838">
          <cell r="A838" t="str">
            <v>SNYA</v>
          </cell>
          <cell r="B838" t="str">
            <v>AERÓDROMO PÚBLICO DE ALMEIRIM</v>
          </cell>
          <cell r="C838" t="str">
            <v>PA0024_1500503</v>
          </cell>
          <cell r="D838" t="str">
            <v>ALMEIRIM</v>
          </cell>
          <cell r="E838" t="str">
            <v>PA</v>
          </cell>
          <cell r="F838" t="str">
            <v>û</v>
          </cell>
        </row>
        <row r="839">
          <cell r="A839" t="str">
            <v>SNBS</v>
          </cell>
          <cell r="B839" t="str">
            <v>BALSAS</v>
          </cell>
          <cell r="C839" t="str">
            <v>MA0010_2101400</v>
          </cell>
          <cell r="D839" t="str">
            <v>BALSAS</v>
          </cell>
          <cell r="E839" t="str">
            <v>MA</v>
          </cell>
          <cell r="F839" t="str">
            <v>û</v>
          </cell>
        </row>
        <row r="840">
          <cell r="A840" t="str">
            <v>SNAG</v>
          </cell>
          <cell r="B840" t="str">
            <v>ARAGUARI</v>
          </cell>
          <cell r="C840" t="str">
            <v>MG0020_3103504</v>
          </cell>
          <cell r="D840" t="str">
            <v>ARAGUARI</v>
          </cell>
          <cell r="E840" t="str">
            <v>MG</v>
          </cell>
          <cell r="F840" t="str">
            <v>û</v>
          </cell>
        </row>
        <row r="841">
          <cell r="A841" t="str">
            <v>SSVL</v>
          </cell>
          <cell r="B841" t="str">
            <v>TELÊMACO BORBA</v>
          </cell>
          <cell r="C841" t="str">
            <v>PR0007_4127106</v>
          </cell>
          <cell r="D841" t="str">
            <v>TELÊMACO BORBA</v>
          </cell>
          <cell r="E841" t="str">
            <v>PR</v>
          </cell>
          <cell r="F841" t="str">
            <v>û</v>
          </cell>
        </row>
        <row r="842">
          <cell r="A842" t="str">
            <v>SNAB</v>
          </cell>
          <cell r="B842" t="str">
            <v>ARARIPINA</v>
          </cell>
          <cell r="C842" t="str">
            <v>PE0009_2601102</v>
          </cell>
          <cell r="D842" t="str">
            <v>ARARIPINA</v>
          </cell>
          <cell r="E842" t="str">
            <v>PE</v>
          </cell>
          <cell r="F842" t="str">
            <v>ü</v>
          </cell>
          <cell r="G842" t="str">
            <v>Adequação</v>
          </cell>
          <cell r="H842">
            <v>0</v>
          </cell>
          <cell r="I842">
            <v>145000</v>
          </cell>
          <cell r="J842">
            <v>0</v>
          </cell>
          <cell r="K842">
            <v>0</v>
          </cell>
          <cell r="L842">
            <v>330000</v>
          </cell>
          <cell r="M842">
            <v>0</v>
          </cell>
          <cell r="N842">
            <v>1500000</v>
          </cell>
          <cell r="O842">
            <v>0</v>
          </cell>
          <cell r="P842">
            <v>245000</v>
          </cell>
          <cell r="Q842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25-M04-D04_AmpliAR-CAPEX_Extra"/>
      <sheetName val="A25-M03-D17_CAPEX_AmpliAR"/>
      <sheetName val="Item1a_REDE_PAN_BASE_DESENVOLV1"/>
    </sheetNames>
    <sheetDataSet>
      <sheetData sheetId="0" refreshError="1"/>
      <sheetData sheetId="1" refreshError="1">
        <row r="3">
          <cell r="B3" t="str">
            <v>SNZA</v>
          </cell>
          <cell r="C3" t="str">
            <v>POUSO ALEGRE</v>
          </cell>
          <cell r="D3" t="str">
            <v>MG0038_3152501</v>
          </cell>
          <cell r="E3" t="str">
            <v>POUSO ALEGRE</v>
          </cell>
          <cell r="F3" t="str">
            <v>MG</v>
          </cell>
        </row>
        <row r="4">
          <cell r="B4" t="str">
            <v>SN6L</v>
          </cell>
          <cell r="C4" t="str">
            <v>DR. LUCIANO DE ARRUDA COELHO</v>
          </cell>
          <cell r="D4" t="str">
            <v>CE0164_2312908</v>
          </cell>
          <cell r="E4" t="str">
            <v>SOBRAL</v>
          </cell>
          <cell r="F4" t="str">
            <v>CE</v>
          </cell>
        </row>
        <row r="5">
          <cell r="B5" t="str">
            <v>SBVG</v>
          </cell>
          <cell r="C5" t="str">
            <v>MAJOR BRIGADEIRO TROMPOWSKY</v>
          </cell>
          <cell r="D5" t="str">
            <v>MG0019_3170701</v>
          </cell>
          <cell r="E5" t="str">
            <v>VARGINHA</v>
          </cell>
          <cell r="F5" t="str">
            <v>MG</v>
          </cell>
        </row>
        <row r="6">
          <cell r="B6" t="str">
            <v>SBIC</v>
          </cell>
          <cell r="C6" t="str">
            <v>ITACOATIARA</v>
          </cell>
          <cell r="D6" t="str">
            <v>AM0012_1301902</v>
          </cell>
          <cell r="E6" t="str">
            <v>ITACOATIARA</v>
          </cell>
          <cell r="F6" t="str">
            <v>AM</v>
          </cell>
        </row>
        <row r="7">
          <cell r="B7" t="str">
            <v>SNIG</v>
          </cell>
          <cell r="C7" t="str">
            <v>IGUATU</v>
          </cell>
          <cell r="D7" t="str">
            <v>CE0007_2305506</v>
          </cell>
          <cell r="E7" t="str">
            <v>IGUATU</v>
          </cell>
          <cell r="F7" t="str">
            <v>CE</v>
          </cell>
        </row>
        <row r="8">
          <cell r="B8" t="str">
            <v>SNTS</v>
          </cell>
          <cell r="C8" t="str">
            <v>BRIGADEIRO FIRMINO AYRES</v>
          </cell>
          <cell r="D8" t="str">
            <v>PB0005_2510808</v>
          </cell>
          <cell r="E8" t="str">
            <v>PATOS</v>
          </cell>
          <cell r="F8" t="str">
            <v>PB</v>
          </cell>
        </row>
        <row r="9">
          <cell r="B9" t="str">
            <v>N096</v>
          </cell>
          <cell r="C9" t="str">
            <v>AEROPORTO PRÉ-PLANEJADO EM SEDE DE UTP</v>
          </cell>
          <cell r="D9" t="str">
            <v>PA-011_1502509</v>
          </cell>
          <cell r="E9" t="str">
            <v>CHAVES</v>
          </cell>
          <cell r="F9" t="str">
            <v>PA</v>
          </cell>
        </row>
        <row r="10">
          <cell r="B10" t="str">
            <v>SNMA</v>
          </cell>
          <cell r="C10" t="str">
            <v>MONTE ALEGRE</v>
          </cell>
          <cell r="D10" t="str">
            <v>PA0019_1504802</v>
          </cell>
          <cell r="E10" t="str">
            <v>MONTE ALEGRE</v>
          </cell>
          <cell r="F10" t="str">
            <v>PA</v>
          </cell>
        </row>
        <row r="11">
          <cell r="B11" t="str">
            <v>SNLN</v>
          </cell>
          <cell r="C11" t="str">
            <v>MUNICIPAL DE LINHARES</v>
          </cell>
          <cell r="D11" t="str">
            <v>ES0002_3203205</v>
          </cell>
          <cell r="E11" t="str">
            <v>LINHARES</v>
          </cell>
          <cell r="F11" t="str">
            <v>ES</v>
          </cell>
        </row>
        <row r="12">
          <cell r="B12" t="str">
            <v>SBTU</v>
          </cell>
          <cell r="C12" t="str">
            <v>TUCURUÍ</v>
          </cell>
          <cell r="D12" t="str">
            <v>PA0007_1508100</v>
          </cell>
          <cell r="E12" t="str">
            <v>TUCURUÍ</v>
          </cell>
          <cell r="F12" t="str">
            <v>PA</v>
          </cell>
        </row>
        <row r="13">
          <cell r="B13" t="str">
            <v>SBGM</v>
          </cell>
          <cell r="C13" t="str">
            <v>GUAJARÁ-MIRIM</v>
          </cell>
          <cell r="D13" t="str">
            <v>RO0006_1100106</v>
          </cell>
          <cell r="E13" t="str">
            <v>GUAJARÁ-MIRIM</v>
          </cell>
          <cell r="F13" t="str">
            <v>RO</v>
          </cell>
        </row>
        <row r="14">
          <cell r="B14" t="str">
            <v>SNDV</v>
          </cell>
          <cell r="C14" t="str">
            <v>BRIGADEIRO ANTÔNIO CABRAL</v>
          </cell>
          <cell r="D14" t="str">
            <v>MG0015_3122306</v>
          </cell>
          <cell r="E14" t="str">
            <v>DIVINÓPOLIS</v>
          </cell>
          <cell r="F14" t="str">
            <v>MG</v>
          </cell>
        </row>
        <row r="15">
          <cell r="B15" t="str">
            <v>N094</v>
          </cell>
          <cell r="C15" t="str">
            <v>AEROPORTO PRÉ-PLANEJADO EM SEDE DE UTP</v>
          </cell>
          <cell r="D15" t="str">
            <v>PA-007_1501709</v>
          </cell>
          <cell r="E15" t="str">
            <v>BRAGANÇA</v>
          </cell>
          <cell r="F15" t="str">
            <v>PA</v>
          </cell>
        </row>
        <row r="16">
          <cell r="B16" t="str">
            <v>SI7L</v>
          </cell>
          <cell r="C16" t="str">
            <v>PRAINHA</v>
          </cell>
          <cell r="D16" t="str">
            <v>PA0331_1506005</v>
          </cell>
          <cell r="E16" t="str">
            <v>PRAINHA</v>
          </cell>
          <cell r="F16" t="str">
            <v>PA</v>
          </cell>
        </row>
        <row r="17">
          <cell r="B17" t="str">
            <v>SDRK</v>
          </cell>
          <cell r="C17" t="str">
            <v>RIO CLARO</v>
          </cell>
          <cell r="D17" t="str">
            <v>SP0049_3543907</v>
          </cell>
          <cell r="E17" t="str">
            <v>RIO CLARO</v>
          </cell>
          <cell r="F17" t="str">
            <v>SP</v>
          </cell>
        </row>
        <row r="18">
          <cell r="B18" t="str">
            <v>N070</v>
          </cell>
          <cell r="C18" t="str">
            <v>AEROPORTO PRÉ-PLANEJADO EM SEDE DE UTP</v>
          </cell>
          <cell r="D18" t="str">
            <v>AM-012_1304302</v>
          </cell>
          <cell r="E18" t="str">
            <v>URUCARÁ</v>
          </cell>
          <cell r="F18" t="str">
            <v>AM</v>
          </cell>
        </row>
        <row r="19">
          <cell r="B19" t="str">
            <v>SNEB</v>
          </cell>
          <cell r="C19" t="str">
            <v>NAGIB DEMACHKI</v>
          </cell>
          <cell r="D19" t="str">
            <v>PA0018_1505502</v>
          </cell>
          <cell r="E19" t="str">
            <v>PARAGOMINAS</v>
          </cell>
          <cell r="F19" t="str">
            <v>PA</v>
          </cell>
        </row>
        <row r="20">
          <cell r="B20" t="str">
            <v>SNCZ</v>
          </cell>
          <cell r="C20" t="str">
            <v>PONTE NOVA</v>
          </cell>
          <cell r="D20" t="str">
            <v>MG0059_3152105</v>
          </cell>
          <cell r="E20" t="str">
            <v>PONTE NOVA</v>
          </cell>
          <cell r="F20" t="str">
            <v>MG</v>
          </cell>
        </row>
        <row r="21">
          <cell r="B21" t="str">
            <v>N123</v>
          </cell>
          <cell r="C21" t="str">
            <v>AEROPORTO PRÉ-PLANEJADO EM SEDE DE UTP</v>
          </cell>
          <cell r="D21" t="str">
            <v>PA-016_1506195</v>
          </cell>
          <cell r="E21" t="str">
            <v>RURÓPOLIS</v>
          </cell>
          <cell r="F21" t="str">
            <v>PA</v>
          </cell>
        </row>
        <row r="22">
          <cell r="B22" t="str">
            <v>SJOG</v>
          </cell>
          <cell r="C22" t="str">
            <v>ARIQUEMES</v>
          </cell>
          <cell r="D22" t="str">
            <v>RO0008_1100023</v>
          </cell>
          <cell r="E22" t="str">
            <v>ARIQUEMES</v>
          </cell>
          <cell r="F22" t="str">
            <v>RO</v>
          </cell>
        </row>
        <row r="23">
          <cell r="B23" t="str">
            <v>SNSS</v>
          </cell>
          <cell r="C23" t="str">
            <v>SALINAS</v>
          </cell>
          <cell r="D23" t="str">
            <v>MG0029_3157005</v>
          </cell>
          <cell r="E23" t="str">
            <v>SALINAS</v>
          </cell>
          <cell r="F23" t="str">
            <v>MG</v>
          </cell>
        </row>
        <row r="24">
          <cell r="B24" t="str">
            <v>SBOI</v>
          </cell>
          <cell r="C24" t="str">
            <v>OIAPOQUE</v>
          </cell>
          <cell r="D24" t="str">
            <v>AP0002_1600501</v>
          </cell>
          <cell r="E24" t="str">
            <v>OIAPOQUE</v>
          </cell>
          <cell r="F24" t="str">
            <v>AP</v>
          </cell>
        </row>
        <row r="25">
          <cell r="B25" t="str">
            <v>SWBR</v>
          </cell>
          <cell r="C25" t="str">
            <v>BORBA</v>
          </cell>
          <cell r="D25" t="str">
            <v>AM0018_1300805</v>
          </cell>
          <cell r="E25" t="str">
            <v>BORBA</v>
          </cell>
          <cell r="F25" t="str">
            <v>AM</v>
          </cell>
        </row>
        <row r="26">
          <cell r="B26" t="str">
            <v>SNTI</v>
          </cell>
          <cell r="C26" t="str">
            <v>ÓBIDOS</v>
          </cell>
          <cell r="D26" t="str">
            <v>PA0016_1505106</v>
          </cell>
          <cell r="E26" t="str">
            <v>ÓBIDOS</v>
          </cell>
          <cell r="F26" t="str">
            <v>PA</v>
          </cell>
        </row>
        <row r="27">
          <cell r="B27" t="str">
            <v>N218</v>
          </cell>
          <cell r="C27" t="str">
            <v>AEROPORTO PRÉ-PLANEJADO EM SEDE DE UTP</v>
          </cell>
          <cell r="D27" t="str">
            <v>SP-013_3522307</v>
          </cell>
          <cell r="E27" t="str">
            <v>ITAPETININGA</v>
          </cell>
          <cell r="F27" t="str">
            <v>SP</v>
          </cell>
        </row>
        <row r="28">
          <cell r="B28" t="str">
            <v>SWUA</v>
          </cell>
          <cell r="C28" t="str">
            <v>SÃO MIGUEL DO ARAGUAIA</v>
          </cell>
          <cell r="D28" t="str">
            <v>GO0011_5220207</v>
          </cell>
          <cell r="E28" t="str">
            <v>SÃO MIGUEL DO ARAGUAIA</v>
          </cell>
          <cell r="F28" t="str">
            <v>GO</v>
          </cell>
        </row>
        <row r="29">
          <cell r="B29" t="str">
            <v>N861</v>
          </cell>
          <cell r="C29" t="str">
            <v>AEROPORTO PRÉ-PLANEJADO EM SEDE DE UTP</v>
          </cell>
          <cell r="D29" t="str">
            <v>AP-004_1600709</v>
          </cell>
          <cell r="E29" t="str">
            <v>TARTARUGALZINHO</v>
          </cell>
          <cell r="F29" t="str">
            <v>AP</v>
          </cell>
        </row>
        <row r="30">
          <cell r="B30" t="str">
            <v>SWEK</v>
          </cell>
          <cell r="C30" t="str">
            <v>CANARANA</v>
          </cell>
          <cell r="D30" t="str">
            <v>MT0024_5102702</v>
          </cell>
          <cell r="E30" t="str">
            <v>CANARANA</v>
          </cell>
          <cell r="F30" t="str">
            <v>MT</v>
          </cell>
        </row>
        <row r="31">
          <cell r="B31" t="str">
            <v>SWKC</v>
          </cell>
          <cell r="C31" t="str">
            <v>CÁCERES</v>
          </cell>
          <cell r="D31" t="str">
            <v>MT0017_5102504</v>
          </cell>
          <cell r="E31" t="str">
            <v>CÁCERES</v>
          </cell>
          <cell r="F31" t="str">
            <v>MT</v>
          </cell>
        </row>
        <row r="32">
          <cell r="B32" t="str">
            <v>SBIH</v>
          </cell>
          <cell r="C32" t="str">
            <v>ITAITUBA</v>
          </cell>
          <cell r="D32" t="str">
            <v>PA0010_1503606</v>
          </cell>
          <cell r="E32" t="str">
            <v>ITAITUBA</v>
          </cell>
          <cell r="F32" t="str">
            <v>PA</v>
          </cell>
        </row>
        <row r="33">
          <cell r="B33" t="str">
            <v>SNPC</v>
          </cell>
          <cell r="C33" t="str">
            <v>PICOS</v>
          </cell>
          <cell r="D33" t="str">
            <v>PI0009_2208007</v>
          </cell>
          <cell r="E33" t="str">
            <v>PICOS</v>
          </cell>
          <cell r="F33" t="str">
            <v>PI</v>
          </cell>
        </row>
        <row r="34">
          <cell r="B34" t="str">
            <v>N798</v>
          </cell>
          <cell r="C34" t="str">
            <v>AEROPORTO PRÉ-PLANEJADO EM SEDE DE UTP</v>
          </cell>
          <cell r="D34" t="str">
            <v>RR-004_1400472</v>
          </cell>
          <cell r="E34" t="str">
            <v>RORAINÓPOLIS</v>
          </cell>
          <cell r="F34" t="str">
            <v>RR</v>
          </cell>
        </row>
        <row r="35">
          <cell r="B35" t="str">
            <v>N774</v>
          </cell>
          <cell r="C35" t="str">
            <v>AEROPORTO PRÉ-PLANEJADO EM SEDE DE UTP</v>
          </cell>
          <cell r="D35" t="str">
            <v>PA-015_1505809</v>
          </cell>
          <cell r="E35" t="str">
            <v>PORTEL</v>
          </cell>
          <cell r="F35" t="str">
            <v>PA</v>
          </cell>
        </row>
        <row r="36">
          <cell r="B36" t="str">
            <v>SJZ5</v>
          </cell>
          <cell r="C36" t="str">
            <v>AUTAZES</v>
          </cell>
          <cell r="D36" t="str">
            <v>AM0112_1300300</v>
          </cell>
          <cell r="E36" t="str">
            <v>AUTAZES</v>
          </cell>
          <cell r="F36" t="str">
            <v>AM</v>
          </cell>
        </row>
        <row r="37">
          <cell r="B37" t="str">
            <v>SNZR</v>
          </cell>
          <cell r="C37" t="str">
            <v>PEDRO RABELO DE SOUZA</v>
          </cell>
          <cell r="D37" t="str">
            <v>MG0026_3147006</v>
          </cell>
          <cell r="E37" t="str">
            <v>PARACATU</v>
          </cell>
          <cell r="F37" t="str">
            <v>MG</v>
          </cell>
        </row>
        <row r="38">
          <cell r="B38" t="str">
            <v>SNFX</v>
          </cell>
          <cell r="C38" t="str">
            <v>SÃO FÉLIX DO XINGU</v>
          </cell>
          <cell r="D38" t="str">
            <v>PA0013_1507300</v>
          </cell>
          <cell r="E38" t="str">
            <v>SÃO FÉLIX DO XINGU</v>
          </cell>
          <cell r="F38" t="str">
            <v>PA</v>
          </cell>
        </row>
        <row r="39">
          <cell r="B39" t="str">
            <v>SNDC</v>
          </cell>
          <cell r="C39" t="str">
            <v>REDENÇÃO</v>
          </cell>
          <cell r="D39" t="str">
            <v>PA0030_1506138</v>
          </cell>
          <cell r="E39" t="str">
            <v>REDENÇÃO</v>
          </cell>
          <cell r="F39" t="str">
            <v>PA</v>
          </cell>
        </row>
        <row r="40">
          <cell r="B40" t="str">
            <v>SNOS</v>
          </cell>
          <cell r="C40" t="str">
            <v>MUNICIPAL JOSÉ FIGUEIREDO</v>
          </cell>
          <cell r="D40" t="str">
            <v>MG0024_3147907</v>
          </cell>
          <cell r="E40" t="str">
            <v>PASSOS</v>
          </cell>
          <cell r="F40" t="str">
            <v>MG</v>
          </cell>
        </row>
        <row r="41">
          <cell r="B41" t="str">
            <v>N707</v>
          </cell>
          <cell r="C41" t="str">
            <v>AEROPORTO PRÉ-PLANEJADO EM SEDE DE UTP</v>
          </cell>
          <cell r="D41" t="str">
            <v>TO-009_1712702</v>
          </cell>
          <cell r="E41" t="str">
            <v>MATEIROS</v>
          </cell>
          <cell r="F41" t="str">
            <v>TO</v>
          </cell>
        </row>
        <row r="42">
          <cell r="B42" t="str">
            <v>SDXF</v>
          </cell>
          <cell r="C42" t="str">
            <v>ALTO PARAÍSO DE GOIÁS</v>
          </cell>
          <cell r="D42" t="str">
            <v>GO0020_5200605</v>
          </cell>
          <cell r="E42" t="str">
            <v>ALTO PARAÍSO DE GOIÁS</v>
          </cell>
          <cell r="F42" t="str">
            <v>GO</v>
          </cell>
        </row>
        <row r="43">
          <cell r="B43" t="str">
            <v>SSRS</v>
          </cell>
          <cell r="C43" t="str">
            <v>BARREIRINHAS</v>
          </cell>
          <cell r="D43" t="str">
            <v>MA0008_2101707</v>
          </cell>
          <cell r="E43" t="str">
            <v>BARREIRINHAS</v>
          </cell>
          <cell r="F43" t="str">
            <v>MA</v>
          </cell>
        </row>
        <row r="44">
          <cell r="B44" t="str">
            <v>N920</v>
          </cell>
          <cell r="C44" t="str">
            <v>AEROPORTO PRÉ-PLANEJADO EM SEDE DE UTP</v>
          </cell>
          <cell r="D44" t="str">
            <v>BA-010_2908606</v>
          </cell>
          <cell r="E44" t="str">
            <v>CONDE</v>
          </cell>
          <cell r="F44" t="str">
            <v>BA</v>
          </cell>
        </row>
        <row r="45">
          <cell r="B45" t="str">
            <v>SDAG</v>
          </cell>
          <cell r="C45" t="str">
            <v>ANGRA DOS REIS</v>
          </cell>
          <cell r="D45" t="str">
            <v>RJ0010_3300100</v>
          </cell>
          <cell r="E45" t="str">
            <v>ANGRA DOS REIS</v>
          </cell>
          <cell r="F45" t="str">
            <v>RJ</v>
          </cell>
        </row>
        <row r="46">
          <cell r="B46" t="str">
            <v>SNSM</v>
          </cell>
          <cell r="C46" t="str">
            <v>SALINÓPOLIS</v>
          </cell>
          <cell r="D46" t="str">
            <v>PA0250_1506203</v>
          </cell>
          <cell r="E46" t="str">
            <v>SALINÓPOLIS</v>
          </cell>
          <cell r="F46" t="str">
            <v>PA</v>
          </cell>
        </row>
        <row r="47">
          <cell r="B47" t="str">
            <v>N275</v>
          </cell>
          <cell r="C47" t="str">
            <v>AEROPORTO PRÉ-PLANEJADO EM SEDE DE UTP</v>
          </cell>
          <cell r="D47" t="str">
            <v>AL-001_2704500</v>
          </cell>
          <cell r="E47" t="str">
            <v>MARAGOGI</v>
          </cell>
          <cell r="F47" t="str">
            <v>AL</v>
          </cell>
        </row>
        <row r="48">
          <cell r="B48" t="str">
            <v>SBST</v>
          </cell>
          <cell r="C48" t="str">
            <v>SANTOS</v>
          </cell>
          <cell r="D48" t="str">
            <v>SP9006_3518701</v>
          </cell>
          <cell r="E48" t="str">
            <v>GUARUJÁ</v>
          </cell>
          <cell r="F48" t="str">
            <v>SP</v>
          </cell>
        </row>
        <row r="49">
          <cell r="B49" t="str">
            <v>SBUF</v>
          </cell>
          <cell r="C49" t="str">
            <v>PAULO AFONSO</v>
          </cell>
          <cell r="D49" t="str">
            <v>BA0007_2924009</v>
          </cell>
          <cell r="E49" t="str">
            <v>PAULO AFONSO</v>
          </cell>
          <cell r="F49" t="str">
            <v>BA</v>
          </cell>
        </row>
        <row r="50">
          <cell r="B50" t="str">
            <v>SWKQ</v>
          </cell>
          <cell r="C50" t="str">
            <v>SERRA DA CAPIVARA/SÃO RAIMUNDO NONATO</v>
          </cell>
          <cell r="D50" t="str">
            <v>PI0004_2210607</v>
          </cell>
          <cell r="E50" t="str">
            <v>SÃO RAIMUNDO NONATO</v>
          </cell>
          <cell r="F50" t="str">
            <v>PI</v>
          </cell>
        </row>
        <row r="51">
          <cell r="B51" t="str">
            <v>SBAX</v>
          </cell>
          <cell r="C51" t="str">
            <v>ROMEU ZEMA</v>
          </cell>
          <cell r="D51" t="str">
            <v>MG0008_3104007</v>
          </cell>
          <cell r="E51" t="str">
            <v>ARAXÁ</v>
          </cell>
          <cell r="F51" t="str">
            <v>MG</v>
          </cell>
        </row>
        <row r="52">
          <cell r="B52" t="str">
            <v>SBLE</v>
          </cell>
          <cell r="C52" t="str">
            <v>HORÁCIO DE MATTOS</v>
          </cell>
          <cell r="D52" t="str">
            <v>BA0006_2919306</v>
          </cell>
          <cell r="E52" t="str">
            <v>LENÇÓIS</v>
          </cell>
          <cell r="F52" t="str">
            <v>BA</v>
          </cell>
        </row>
        <row r="53">
          <cell r="B53" t="str">
            <v>SDIY</v>
          </cell>
          <cell r="C53" t="str">
            <v>JOÃO DURVAL CARNEIRO</v>
          </cell>
          <cell r="D53" t="str">
            <v>BA0013_2910800</v>
          </cell>
          <cell r="E53" t="str">
            <v>FEIRA DE SANTANA</v>
          </cell>
          <cell r="F53" t="str">
            <v>BA</v>
          </cell>
        </row>
        <row r="54">
          <cell r="B54" t="str">
            <v>SNCP</v>
          </cell>
          <cell r="C54" t="str">
            <v>AEROPORTO REGIONAL DO PLANALTO SERRANO</v>
          </cell>
          <cell r="D54" t="str">
            <v>SC0181_4204558</v>
          </cell>
          <cell r="E54" t="str">
            <v>CORREIA PINTO</v>
          </cell>
          <cell r="F54" t="str">
            <v>SC</v>
          </cell>
        </row>
        <row r="55">
          <cell r="B55" t="str">
            <v>SBCA</v>
          </cell>
          <cell r="C55" t="str">
            <v>AEROPORTO REGIONAL DO OESTE - CEL. ADALBERTO MENDES DA SILVA</v>
          </cell>
          <cell r="D55" t="str">
            <v>PR0005_4104808</v>
          </cell>
          <cell r="E55" t="str">
            <v>CASCAVEL</v>
          </cell>
          <cell r="F55" t="str">
            <v>PR</v>
          </cell>
        </row>
        <row r="56">
          <cell r="B56" t="str">
            <v>SBCN</v>
          </cell>
          <cell r="C56" t="str">
            <v>NELSON RODRIGUES GUIMARÃES</v>
          </cell>
          <cell r="D56" t="str">
            <v>GO0003_5204508</v>
          </cell>
          <cell r="E56" t="str">
            <v>CALDAS NOVAS</v>
          </cell>
          <cell r="F56" t="str">
            <v>GO</v>
          </cell>
        </row>
        <row r="57">
          <cell r="B57" t="str">
            <v>SBGV</v>
          </cell>
          <cell r="C57" t="str">
            <v>CORONEL ALTINO MACHADO</v>
          </cell>
          <cell r="D57" t="str">
            <v>MG0032_3127701</v>
          </cell>
          <cell r="E57" t="str">
            <v>GOVERNADOR VALADARES</v>
          </cell>
          <cell r="F57" t="str">
            <v>MG</v>
          </cell>
        </row>
        <row r="58">
          <cell r="B58" t="str">
            <v>SBTK</v>
          </cell>
          <cell r="C58" t="str">
            <v>TARAUACÁ</v>
          </cell>
          <cell r="D58" t="str">
            <v>AC0004_1200609</v>
          </cell>
          <cell r="E58" t="str">
            <v>TARAUACÁ</v>
          </cell>
          <cell r="F58" t="str">
            <v>AC</v>
          </cell>
        </row>
        <row r="59">
          <cell r="B59" t="str">
            <v>SBJA</v>
          </cell>
          <cell r="C59" t="str">
            <v>REGIONAL SUL</v>
          </cell>
          <cell r="D59" t="str">
            <v>SC0005_4208807</v>
          </cell>
          <cell r="E59" t="str">
            <v>JAGUARUNA</v>
          </cell>
          <cell r="F59" t="str">
            <v>SC</v>
          </cell>
        </row>
        <row r="60">
          <cell r="B60" t="str">
            <v>SBSM</v>
          </cell>
          <cell r="C60" t="str">
            <v>SANTA MARIA</v>
          </cell>
          <cell r="D60" t="str">
            <v>RS0003_4316907</v>
          </cell>
          <cell r="E60" t="str">
            <v>SANTA MARIA</v>
          </cell>
          <cell r="F60" t="str">
            <v>RS</v>
          </cell>
        </row>
        <row r="61">
          <cell r="B61" t="str">
            <v>SBTD</v>
          </cell>
          <cell r="C61" t="str">
            <v>LUIZ DALCANALE FILHO</v>
          </cell>
          <cell r="D61" t="str">
            <v>PR0008_4127700</v>
          </cell>
          <cell r="E61" t="str">
            <v>TOLEDO</v>
          </cell>
          <cell r="F61" t="str">
            <v>PR</v>
          </cell>
        </row>
        <row r="62">
          <cell r="B62" t="str">
            <v>SBZM</v>
          </cell>
          <cell r="C62" t="str">
            <v>PRESIDENTE ITAMAR FRANCO</v>
          </cell>
          <cell r="D62" t="str">
            <v>MG0006_3127388</v>
          </cell>
          <cell r="E62" t="str">
            <v>GOIANÁ</v>
          </cell>
          <cell r="F62" t="str">
            <v>MG</v>
          </cell>
        </row>
        <row r="63">
          <cell r="B63" t="str">
            <v>SWBC</v>
          </cell>
          <cell r="C63" t="str">
            <v>BARCELOS</v>
          </cell>
          <cell r="D63" t="str">
            <v>AM0017_1300409</v>
          </cell>
          <cell r="E63" t="str">
            <v>BARCELOS</v>
          </cell>
          <cell r="F63" t="str">
            <v>AM</v>
          </cell>
        </row>
        <row r="64">
          <cell r="B64" t="str">
            <v>SBAC</v>
          </cell>
          <cell r="C64" t="str">
            <v>AEROPORTO REGIONAL DE CANOA QUEBRADA DRAGÃO DO MAR</v>
          </cell>
          <cell r="D64" t="str">
            <v>CE0004_2301109</v>
          </cell>
          <cell r="E64" t="str">
            <v>ARACATI</v>
          </cell>
          <cell r="F64" t="str">
            <v>CE</v>
          </cell>
        </row>
        <row r="65">
          <cell r="B65" t="str">
            <v>SBBW</v>
          </cell>
          <cell r="C65" t="str">
            <v>BARRA DO GARÇAS</v>
          </cell>
          <cell r="D65" t="str">
            <v>MT0008_5101803</v>
          </cell>
          <cell r="E65" t="str">
            <v>BARRA DO GARÇAS</v>
          </cell>
          <cell r="F65" t="str">
            <v>MT</v>
          </cell>
        </row>
        <row r="66">
          <cell r="B66" t="str">
            <v>SBCB</v>
          </cell>
          <cell r="C66" t="str">
            <v>CABO FRIO</v>
          </cell>
          <cell r="D66" t="str">
            <v>RJ0003_3300704</v>
          </cell>
          <cell r="E66" t="str">
            <v>CABO FRIO</v>
          </cell>
          <cell r="F66" t="str">
            <v>RJ</v>
          </cell>
        </row>
        <row r="67">
          <cell r="B67" t="str">
            <v>SBCH</v>
          </cell>
          <cell r="C67" t="str">
            <v>SERAFIN ENOSS BERTASO</v>
          </cell>
          <cell r="D67" t="str">
            <v>SC0003_4204202</v>
          </cell>
          <cell r="E67" t="str">
            <v>CHAPECÓ</v>
          </cell>
          <cell r="F67" t="str">
            <v>SC</v>
          </cell>
        </row>
        <row r="68">
          <cell r="B68" t="str">
            <v>SBCP</v>
          </cell>
          <cell r="C68" t="str">
            <v>BARTOLOMEU LISANDRO</v>
          </cell>
          <cell r="D68" t="str">
            <v>RJ0006_3301009</v>
          </cell>
          <cell r="E68" t="str">
            <v>CAMPOS DOS GOYTACAZES</v>
          </cell>
          <cell r="F68" t="str">
            <v>RJ</v>
          </cell>
        </row>
        <row r="69">
          <cell r="B69" t="str">
            <v>N759</v>
          </cell>
          <cell r="C69" t="str">
            <v>AEROPORTO PRÉ-PLANEJADO EM SEDE DE UTP</v>
          </cell>
          <cell r="D69" t="str">
            <v>RS-005_4305108</v>
          </cell>
          <cell r="E69" t="str">
            <v>CAXIAS DO SUL</v>
          </cell>
          <cell r="F69" t="str">
            <v>RS</v>
          </cell>
        </row>
        <row r="70">
          <cell r="B70" t="str">
            <v>SBDB</v>
          </cell>
          <cell r="C70" t="str">
            <v>AERÓDROMO PÚBLICO DE BONITO</v>
          </cell>
          <cell r="D70" t="str">
            <v>MS0004_5002209</v>
          </cell>
          <cell r="E70" t="str">
            <v>BONITO</v>
          </cell>
          <cell r="F70" t="str">
            <v>MS</v>
          </cell>
        </row>
        <row r="71">
          <cell r="B71" t="str">
            <v>SBDO</v>
          </cell>
          <cell r="C71" t="str">
            <v>DOURADOS</v>
          </cell>
          <cell r="D71" t="str">
            <v>MS0008_5003702</v>
          </cell>
          <cell r="E71" t="str">
            <v>DOURADOS</v>
          </cell>
          <cell r="F71" t="str">
            <v>MS</v>
          </cell>
        </row>
        <row r="72">
          <cell r="B72" t="str">
            <v>SBFN</v>
          </cell>
          <cell r="C72" t="str">
            <v>FERNANDO DE NORONHA</v>
          </cell>
          <cell r="D72" t="str">
            <v>PE0003_2605459</v>
          </cell>
          <cell r="E72" t="str">
            <v>FERNANDO DE NORONHA</v>
          </cell>
          <cell r="F72" t="str">
            <v>PE</v>
          </cell>
        </row>
        <row r="73">
          <cell r="B73" t="str">
            <v>SBIL</v>
          </cell>
          <cell r="C73" t="str">
            <v>BAHIA - JORGE AMADO</v>
          </cell>
          <cell r="D73" t="str">
            <v>BA0004_2913606</v>
          </cell>
          <cell r="E73" t="str">
            <v>ILHÉUS</v>
          </cell>
          <cell r="F73" t="str">
            <v>BA</v>
          </cell>
        </row>
        <row r="74">
          <cell r="B74" t="str">
            <v>SBIP</v>
          </cell>
          <cell r="C74" t="str">
            <v>USIMINAS</v>
          </cell>
          <cell r="D74" t="str">
            <v>MG0007_3158953</v>
          </cell>
          <cell r="E74" t="str">
            <v>SANTANA DO PARAÍSO</v>
          </cell>
          <cell r="F74" t="str">
            <v>MG</v>
          </cell>
        </row>
        <row r="75">
          <cell r="B75" t="str">
            <v>SBJE</v>
          </cell>
          <cell r="C75" t="str">
            <v>COMANDANTE ARISTON PESSOA</v>
          </cell>
          <cell r="D75" t="str">
            <v>CE0003_2304251</v>
          </cell>
          <cell r="E75" t="str">
            <v>CRUZ</v>
          </cell>
          <cell r="F75" t="str">
            <v>CE</v>
          </cell>
        </row>
        <row r="76">
          <cell r="B76" t="str">
            <v>SBJI</v>
          </cell>
          <cell r="C76" t="str">
            <v>JI-PARANÁ</v>
          </cell>
          <cell r="D76" t="str">
            <v>RO0005_1100122</v>
          </cell>
          <cell r="E76" t="str">
            <v>JI-PARANÁ</v>
          </cell>
          <cell r="F76" t="str">
            <v>RO</v>
          </cell>
        </row>
        <row r="77">
          <cell r="B77" t="str">
            <v>SBMD</v>
          </cell>
          <cell r="C77" t="str">
            <v>MONTE DOURADO</v>
          </cell>
          <cell r="D77" t="str">
            <v>PA0009_1500503</v>
          </cell>
          <cell r="E77" t="str">
            <v>ALMEIRIM</v>
          </cell>
          <cell r="F77" t="str">
            <v>PA</v>
          </cell>
        </row>
        <row r="78">
          <cell r="B78" t="str">
            <v>SBMG</v>
          </cell>
          <cell r="C78" t="str">
            <v>SÍLVIO NAME JÚNIOR</v>
          </cell>
          <cell r="D78" t="str">
            <v>PR0004_4115200</v>
          </cell>
          <cell r="E78" t="str">
            <v>MARINGÁ</v>
          </cell>
          <cell r="F78" t="str">
            <v>PR</v>
          </cell>
        </row>
        <row r="79">
          <cell r="B79" t="str">
            <v>SBMS</v>
          </cell>
          <cell r="C79" t="str">
            <v>DIX-SEPT ROSADO</v>
          </cell>
          <cell r="D79" t="str">
            <v>RN0002_2408003</v>
          </cell>
          <cell r="E79" t="str">
            <v>MOSSORÓ</v>
          </cell>
          <cell r="F79" t="str">
            <v>RN</v>
          </cell>
        </row>
        <row r="80">
          <cell r="B80" t="str">
            <v>SBMY</v>
          </cell>
          <cell r="C80" t="str">
            <v>MANICORÉ</v>
          </cell>
          <cell r="D80" t="str">
            <v>AM0015_1302702</v>
          </cell>
          <cell r="E80" t="str">
            <v>MANICORÉ</v>
          </cell>
          <cell r="F80" t="str">
            <v>AM</v>
          </cell>
        </row>
        <row r="81">
          <cell r="B81" t="str">
            <v>SBNM</v>
          </cell>
          <cell r="C81" t="str">
            <v>SANTO ÂNGELO</v>
          </cell>
          <cell r="D81" t="str">
            <v>RS0008_4317509</v>
          </cell>
          <cell r="E81" t="str">
            <v>SANTO ÂNGELO</v>
          </cell>
          <cell r="F81" t="str">
            <v>RS</v>
          </cell>
        </row>
        <row r="82">
          <cell r="B82" t="str">
            <v>SBPB</v>
          </cell>
          <cell r="C82" t="str">
            <v>AEROPORTO INTERNACIONAL DE PARNAÍBA / PREFEITO DOUTOR JOÃO SILVA FILHO</v>
          </cell>
          <cell r="D82" t="str">
            <v>PI0002_2207702</v>
          </cell>
          <cell r="E82" t="str">
            <v>PARNAÍBA</v>
          </cell>
          <cell r="F82" t="str">
            <v>PI</v>
          </cell>
        </row>
        <row r="83">
          <cell r="B83" t="str">
            <v>SBPF</v>
          </cell>
          <cell r="C83" t="str">
            <v>LAURO KURTZ</v>
          </cell>
          <cell r="D83" t="str">
            <v>RS0006_4314100</v>
          </cell>
          <cell r="E83" t="str">
            <v>PASSO FUNDO</v>
          </cell>
          <cell r="F83" t="str">
            <v>RS</v>
          </cell>
        </row>
        <row r="84">
          <cell r="B84" t="str">
            <v>SBPG</v>
          </cell>
          <cell r="C84" t="str">
            <v>COMANDANTE ANTÔNIO AMILTON BERALDO</v>
          </cell>
          <cell r="D84" t="str">
            <v>PR0012_4119905</v>
          </cell>
          <cell r="E84" t="str">
            <v>PONTA GROSSA</v>
          </cell>
          <cell r="F84" t="str">
            <v>PR</v>
          </cell>
        </row>
        <row r="85">
          <cell r="B85" t="str">
            <v>SBPO</v>
          </cell>
          <cell r="C85" t="str">
            <v>AEROPORTO REGIONAL DE PATO BRANCO - PROFESSOR JUVENAL LOUREIRO CARDOSO</v>
          </cell>
          <cell r="D85" t="str">
            <v>PR0018_4118501</v>
          </cell>
          <cell r="E85" t="str">
            <v>PATO BRANCO</v>
          </cell>
          <cell r="F85" t="str">
            <v>PR</v>
          </cell>
        </row>
        <row r="86">
          <cell r="B86" t="str">
            <v>SBPS</v>
          </cell>
          <cell r="C86" t="str">
            <v>PORTO SEGURO</v>
          </cell>
          <cell r="D86" t="str">
            <v>BA0002_2925303</v>
          </cell>
          <cell r="E86" t="str">
            <v>PORTO SEGURO</v>
          </cell>
          <cell r="F86" t="str">
            <v>BA</v>
          </cell>
        </row>
        <row r="87">
          <cell r="B87" t="str">
            <v>SBSJ</v>
          </cell>
          <cell r="C87" t="str">
            <v>PROFESSOR URBANO ERNESTO STUMPF</v>
          </cell>
          <cell r="D87" t="str">
            <v>SP0008_3549904</v>
          </cell>
          <cell r="E87" t="str">
            <v>SÃO JOSÉ DOS CAMPOS</v>
          </cell>
          <cell r="F87" t="str">
            <v>SP</v>
          </cell>
        </row>
        <row r="88">
          <cell r="B88" t="str">
            <v>SBSO</v>
          </cell>
          <cell r="C88" t="str">
            <v>REGIONAL DE SORRISO ADOLINO BEDIN</v>
          </cell>
          <cell r="D88" t="str">
            <v>MT0005_5107925</v>
          </cell>
          <cell r="E88" t="str">
            <v>SORRISO</v>
          </cell>
          <cell r="F88" t="str">
            <v>MT</v>
          </cell>
        </row>
        <row r="89">
          <cell r="B89" t="str">
            <v>SBTB</v>
          </cell>
          <cell r="C89" t="str">
            <v>TROMBETAS</v>
          </cell>
          <cell r="D89" t="str">
            <v>PA0012_1505304</v>
          </cell>
          <cell r="E89" t="str">
            <v>ORIXIMINÁ</v>
          </cell>
          <cell r="F89" t="str">
            <v>PA</v>
          </cell>
        </row>
        <row r="90">
          <cell r="B90" t="str">
            <v>SBTG</v>
          </cell>
          <cell r="C90" t="str">
            <v>TRÊS LAGOAS</v>
          </cell>
          <cell r="D90" t="str">
            <v>MS0006_5008305</v>
          </cell>
          <cell r="E90" t="str">
            <v>TRÊS LAGOAS</v>
          </cell>
          <cell r="F90" t="str">
            <v>MS</v>
          </cell>
        </row>
        <row r="91">
          <cell r="B91" t="str">
            <v>SBUA</v>
          </cell>
          <cell r="C91" t="str">
            <v>SÃO GABRIEL DA CACHOEIRA</v>
          </cell>
          <cell r="D91" t="str">
            <v>AM0003_1303809</v>
          </cell>
          <cell r="E91" t="str">
            <v>SÃO GABRIEL DA CACHOEIRA</v>
          </cell>
          <cell r="F91" t="str">
            <v>AM</v>
          </cell>
        </row>
        <row r="92">
          <cell r="B92" t="str">
            <v>SBVH</v>
          </cell>
          <cell r="C92" t="str">
            <v>VILHENA</v>
          </cell>
          <cell r="D92" t="str">
            <v>RO0003_1100304</v>
          </cell>
          <cell r="E92" t="str">
            <v>VILHENA</v>
          </cell>
          <cell r="F92" t="str">
            <v>RO</v>
          </cell>
        </row>
        <row r="93">
          <cell r="B93" t="str">
            <v>SNBR</v>
          </cell>
          <cell r="C93" t="str">
            <v>DOM RICARDO WEBERBERGER</v>
          </cell>
          <cell r="D93" t="str">
            <v>BA0011_2903201</v>
          </cell>
          <cell r="E93" t="str">
            <v>BARREIRAS</v>
          </cell>
          <cell r="F93" t="str">
            <v>BA</v>
          </cell>
        </row>
        <row r="94">
          <cell r="B94" t="str">
            <v>SNGI</v>
          </cell>
          <cell r="C94" t="str">
            <v>AERÓDROMO DE GUANAMBI</v>
          </cell>
          <cell r="D94" t="str">
            <v>BA0009_2911709</v>
          </cell>
          <cell r="E94" t="str">
            <v>GUANAMBI</v>
          </cell>
          <cell r="F94" t="str">
            <v>BA</v>
          </cell>
        </row>
        <row r="95">
          <cell r="B95" t="str">
            <v>SNHS</v>
          </cell>
          <cell r="C95" t="str">
            <v>SANTA MAGALHÃES</v>
          </cell>
          <cell r="D95" t="str">
            <v>PE0005_2613909</v>
          </cell>
          <cell r="E95" t="str">
            <v>SERRA TALHADA</v>
          </cell>
          <cell r="F95" t="str">
            <v>PE</v>
          </cell>
        </row>
        <row r="96">
          <cell r="B96" t="str">
            <v>SNRU</v>
          </cell>
          <cell r="C96" t="str">
            <v>CARUARU</v>
          </cell>
          <cell r="D96" t="str">
            <v>PE0004_2604106</v>
          </cell>
          <cell r="E96" t="str">
            <v>CARUARU</v>
          </cell>
          <cell r="F96" t="str">
            <v>PE</v>
          </cell>
        </row>
        <row r="97">
          <cell r="B97" t="str">
            <v>SNTF</v>
          </cell>
          <cell r="C97" t="str">
            <v>TEIXEIRA DE FREITAS</v>
          </cell>
          <cell r="D97" t="str">
            <v>BA0016_2931350</v>
          </cell>
          <cell r="E97" t="str">
            <v>TEIXEIRA DE FREITAS</v>
          </cell>
          <cell r="F97" t="str">
            <v>BA</v>
          </cell>
        </row>
        <row r="98">
          <cell r="B98" t="str">
            <v>SNVS</v>
          </cell>
          <cell r="C98" t="str">
            <v>BREVES</v>
          </cell>
          <cell r="D98" t="str">
            <v>PA0015_1501808</v>
          </cell>
          <cell r="E98" t="str">
            <v>BREVES</v>
          </cell>
          <cell r="F98" t="str">
            <v>PA</v>
          </cell>
        </row>
        <row r="99">
          <cell r="B99" t="str">
            <v>SSGG</v>
          </cell>
          <cell r="C99" t="str">
            <v>AEROPORTO REGIONAL DE GUARAPUAVA - TANCREDO THOMÁS DE FARIA</v>
          </cell>
          <cell r="D99" t="str">
            <v>PR0009_4109401</v>
          </cell>
          <cell r="E99" t="str">
            <v>GUARAPUAVA</v>
          </cell>
          <cell r="F99" t="str">
            <v>PR</v>
          </cell>
        </row>
        <row r="100">
          <cell r="B100" t="str">
            <v>SNAB</v>
          </cell>
          <cell r="C100" t="str">
            <v>ARARIPINA</v>
          </cell>
          <cell r="D100" t="str">
            <v>PE0009_2601102</v>
          </cell>
          <cell r="E100" t="str">
            <v>ARARIPINA</v>
          </cell>
          <cell r="F100" t="str">
            <v>PE</v>
          </cell>
        </row>
        <row r="101">
          <cell r="B101" t="str">
            <v>SBVC</v>
          </cell>
          <cell r="C101" t="str">
            <v>GLAUBER DE ANDRADE ROCHA</v>
          </cell>
          <cell r="D101" t="str">
            <v>BA0005_2933307</v>
          </cell>
          <cell r="E101" t="str">
            <v>VITÓRIA DA CONQUISTA</v>
          </cell>
          <cell r="F101" t="str">
            <v>BA</v>
          </cell>
        </row>
        <row r="102">
          <cell r="B102" t="str">
            <v>SWCA</v>
          </cell>
          <cell r="C102" t="str">
            <v>CARAUARI</v>
          </cell>
          <cell r="D102" t="str">
            <v>AM0007_1301001</v>
          </cell>
          <cell r="E102" t="str">
            <v>CARAUARI</v>
          </cell>
          <cell r="F102" t="str">
            <v>AM</v>
          </cell>
        </row>
        <row r="103">
          <cell r="B103" t="str">
            <v>SWEI</v>
          </cell>
          <cell r="C103" t="str">
            <v>EIRUNEPÉ</v>
          </cell>
          <cell r="D103" t="str">
            <v>AM0009_1301407</v>
          </cell>
          <cell r="E103" t="str">
            <v>EIRUNEPÉ</v>
          </cell>
          <cell r="F103" t="str">
            <v>AM</v>
          </cell>
        </row>
        <row r="104">
          <cell r="B104" t="str">
            <v>SSKW</v>
          </cell>
          <cell r="C104" t="str">
            <v>CACOAL</v>
          </cell>
          <cell r="D104" t="str">
            <v>RO0004_1100049</v>
          </cell>
          <cell r="E104" t="str">
            <v>CACOAL</v>
          </cell>
          <cell r="F104" t="str">
            <v>RO</v>
          </cell>
        </row>
        <row r="105">
          <cell r="B105" t="str">
            <v>SWJN</v>
          </cell>
          <cell r="C105" t="str">
            <v>JUÍNA</v>
          </cell>
          <cell r="D105" t="str">
            <v>MT0007_5105150</v>
          </cell>
          <cell r="E105" t="str">
            <v>JUÍNA</v>
          </cell>
          <cell r="F105" t="str">
            <v>MT</v>
          </cell>
        </row>
        <row r="106">
          <cell r="B106" t="str">
            <v>SWKO</v>
          </cell>
          <cell r="C106" t="str">
            <v>COARI</v>
          </cell>
          <cell r="D106" t="str">
            <v>AM0010_1301209</v>
          </cell>
          <cell r="E106" t="str">
            <v>COARI</v>
          </cell>
          <cell r="F106" t="str">
            <v>AM</v>
          </cell>
        </row>
        <row r="107">
          <cell r="B107" t="str">
            <v>SWLB</v>
          </cell>
          <cell r="C107" t="str">
            <v>LÁBREA</v>
          </cell>
          <cell r="D107" t="str">
            <v>AM0024_1302405</v>
          </cell>
          <cell r="E107" t="str">
            <v>LÁBREA</v>
          </cell>
          <cell r="F107" t="str">
            <v>AM</v>
          </cell>
        </row>
        <row r="108">
          <cell r="B108" t="str">
            <v>N935</v>
          </cell>
          <cell r="C108" t="str">
            <v>AEROPORTO PRÉ-PLANEJADO EM SEDE DE UTP</v>
          </cell>
          <cell r="D108" t="str">
            <v>GO-014_5218805</v>
          </cell>
          <cell r="E108" t="str">
            <v>RIO VERDE</v>
          </cell>
          <cell r="F108" t="str">
            <v>GO</v>
          </cell>
        </row>
        <row r="109">
          <cell r="B109" t="str">
            <v>SWMW</v>
          </cell>
          <cell r="C109" t="str">
            <v>MAUÉS</v>
          </cell>
          <cell r="D109" t="str">
            <v>AM0020_1302900</v>
          </cell>
          <cell r="E109" t="str">
            <v>MAUÉS</v>
          </cell>
          <cell r="F109" t="str">
            <v>AM</v>
          </cell>
        </row>
        <row r="110">
          <cell r="B110" t="str">
            <v>SWPI</v>
          </cell>
          <cell r="C110" t="str">
            <v>PARINTINS</v>
          </cell>
          <cell r="D110" t="str">
            <v>AM0006_1303403</v>
          </cell>
          <cell r="E110" t="str">
            <v>PARINTINS</v>
          </cell>
          <cell r="F110" t="str">
            <v>AM</v>
          </cell>
        </row>
        <row r="111">
          <cell r="B111" t="str">
            <v>SWTS</v>
          </cell>
          <cell r="C111" t="str">
            <v>TANGARÁ DA SERRA</v>
          </cell>
          <cell r="D111" t="str">
            <v>MT0012_5107958</v>
          </cell>
          <cell r="E111" t="str">
            <v>TANGARÁ DA SERRA</v>
          </cell>
          <cell r="F111" t="str">
            <v>MT</v>
          </cell>
        </row>
        <row r="112">
          <cell r="B112" t="str">
            <v>SNPU</v>
          </cell>
          <cell r="C112" t="str">
            <v>COMANDANTE VIRGILIO BORIM</v>
          </cell>
          <cell r="D112" t="str">
            <v>MG0073_3147204</v>
          </cell>
          <cell r="E112" t="str">
            <v>PARAGUAÇU</v>
          </cell>
          <cell r="F112" t="str">
            <v>MG</v>
          </cell>
        </row>
        <row r="113">
          <cell r="B113" t="str">
            <v>SNVI</v>
          </cell>
          <cell r="C113" t="str">
            <v>MELLO VIANA</v>
          </cell>
          <cell r="D113" t="str">
            <v>MG0035_3169307</v>
          </cell>
          <cell r="E113" t="str">
            <v>TRÊS CORAÇÕES</v>
          </cell>
          <cell r="F113" t="str">
            <v>MG</v>
          </cell>
        </row>
        <row r="114">
          <cell r="B114" t="str">
            <v>N472</v>
          </cell>
          <cell r="C114" t="str">
            <v>AEROPORTO PRÉ-PLANEJADO FORA DE SEDE DE UTP</v>
          </cell>
          <cell r="D114" t="str">
            <v>MG-019_3139003</v>
          </cell>
          <cell r="E114" t="str">
            <v>MACHADO</v>
          </cell>
          <cell r="F114" t="str">
            <v>MG</v>
          </cell>
        </row>
        <row r="115">
          <cell r="B115" t="str">
            <v>SSOL</v>
          </cell>
          <cell r="C115" t="str">
            <v>PADRE ISRAEL (ISRAEL BATISTA DE CARVALHO)</v>
          </cell>
          <cell r="D115" t="str">
            <v>MG0027_3138203</v>
          </cell>
          <cell r="E115" t="str">
            <v>LAVRAS</v>
          </cell>
          <cell r="F115" t="str">
            <v>MG</v>
          </cell>
        </row>
        <row r="116">
          <cell r="B116" t="str">
            <v>SNFE</v>
          </cell>
          <cell r="C116" t="str">
            <v>COMANDANTE PASCHOAL PATROCÍNIO FILHO</v>
          </cell>
          <cell r="D116" t="str">
            <v>MG0012_3101607</v>
          </cell>
          <cell r="E116" t="str">
            <v>ALFENAS</v>
          </cell>
          <cell r="F116" t="str">
            <v>MG</v>
          </cell>
        </row>
        <row r="117">
          <cell r="B117" t="str">
            <v>N516</v>
          </cell>
          <cell r="C117" t="str">
            <v>AEROPORTO PRÉ-PLANEJADO FORA DE SEDE DE UTP</v>
          </cell>
          <cell r="D117" t="str">
            <v>MG-035_3159902</v>
          </cell>
          <cell r="E117" t="str">
            <v>SANTO ANTÔNIO DO AMPARO</v>
          </cell>
          <cell r="F117" t="str">
            <v>MG</v>
          </cell>
        </row>
        <row r="118">
          <cell r="B118" t="str">
            <v>N814</v>
          </cell>
          <cell r="C118" t="str">
            <v>AEROPORTO PRÉ-PLANEJADO EM SEDE DE UTP</v>
          </cell>
          <cell r="D118" t="str">
            <v>CE-009_2312205</v>
          </cell>
          <cell r="E118" t="str">
            <v>SANTA QUITÉRIA</v>
          </cell>
          <cell r="F118" t="str">
            <v>CE</v>
          </cell>
        </row>
        <row r="119">
          <cell r="B119" t="str">
            <v>SJXI</v>
          </cell>
          <cell r="C119" t="str">
            <v>SANTA RITA DO SAPUCAÍ</v>
          </cell>
          <cell r="D119" t="str">
            <v>MG0311_3159605</v>
          </cell>
          <cell r="E119" t="str">
            <v>SANTA RITA DO SAPUCAÍ</v>
          </cell>
          <cell r="F119" t="str">
            <v>MG</v>
          </cell>
        </row>
        <row r="120">
          <cell r="B120" t="str">
            <v>SNLO</v>
          </cell>
          <cell r="C120" t="str">
            <v>SÃO LOURENÇO</v>
          </cell>
          <cell r="D120" t="str">
            <v>MG0037_3163706</v>
          </cell>
          <cell r="E120" t="str">
            <v>SÃO LOURENÇO</v>
          </cell>
          <cell r="F120" t="str">
            <v>MG</v>
          </cell>
        </row>
        <row r="121">
          <cell r="B121" t="str">
            <v>SNXB</v>
          </cell>
          <cell r="C121" t="str">
            <v>CAXAMBU</v>
          </cell>
          <cell r="D121" t="str">
            <v>MG0025_3115508</v>
          </cell>
          <cell r="E121" t="str">
            <v>CAXAMBU</v>
          </cell>
          <cell r="F121" t="str">
            <v>MG</v>
          </cell>
        </row>
        <row r="122">
          <cell r="B122" t="str">
            <v>N432</v>
          </cell>
          <cell r="C122" t="str">
            <v>AEROPORTO PRÉ-PLANEJADO EM SEDE DE UTP</v>
          </cell>
          <cell r="D122" t="str">
            <v>MG-010_3111309</v>
          </cell>
          <cell r="E122" t="str">
            <v>CAMPO DO MEIO</v>
          </cell>
          <cell r="F122" t="str">
            <v>MG</v>
          </cell>
        </row>
        <row r="123">
          <cell r="B123" t="str">
            <v>N298</v>
          </cell>
          <cell r="C123" t="str">
            <v>AEROPORTO PRÉ-PLANEJADO EM SEDE DE UTP</v>
          </cell>
          <cell r="D123" t="str">
            <v>MG-023_3145208</v>
          </cell>
          <cell r="E123" t="str">
            <v>NOVA SERRANA</v>
          </cell>
          <cell r="F123" t="str">
            <v>MG</v>
          </cell>
        </row>
        <row r="124">
          <cell r="B124" t="str">
            <v>SDJV</v>
          </cell>
          <cell r="C124" t="str">
            <v>SÃO JOÃO DA BOA VISTA</v>
          </cell>
          <cell r="D124" t="str">
            <v>SP0035_3549102</v>
          </cell>
          <cell r="E124" t="str">
            <v>SÃO JOÃO DA BOA VISTA</v>
          </cell>
          <cell r="F124" t="str">
            <v>SP</v>
          </cell>
        </row>
        <row r="125">
          <cell r="B125" t="str">
            <v>SNCA</v>
          </cell>
          <cell r="C125" t="str">
            <v>CAMPO BELO</v>
          </cell>
          <cell r="D125" t="str">
            <v>MG0031_3111200</v>
          </cell>
          <cell r="E125" t="str">
            <v>CAMPO BELO</v>
          </cell>
          <cell r="F125" t="str">
            <v>MG</v>
          </cell>
        </row>
        <row r="126">
          <cell r="B126" t="str">
            <v>N214</v>
          </cell>
          <cell r="C126" t="str">
            <v>AEROPORTO PRÉ-PLANEJADO EM SEDE DE UTP</v>
          </cell>
          <cell r="D126" t="str">
            <v>MG-014_3132404</v>
          </cell>
          <cell r="E126" t="str">
            <v>ITAJUBÁ</v>
          </cell>
          <cell r="F126" t="str">
            <v>MG</v>
          </cell>
        </row>
        <row r="127">
          <cell r="B127" t="str">
            <v>SNFO</v>
          </cell>
          <cell r="C127" t="str">
            <v>FORMIGA</v>
          </cell>
          <cell r="D127" t="str">
            <v>MG0060_3126109</v>
          </cell>
          <cell r="E127" t="str">
            <v>FORMIGA</v>
          </cell>
          <cell r="F127" t="str">
            <v>MG</v>
          </cell>
        </row>
        <row r="128">
          <cell r="B128" t="str">
            <v>N357</v>
          </cell>
          <cell r="C128" t="str">
            <v>AEROPORTO PRÉ-PLANEJADO EM SEDE DE UTP</v>
          </cell>
          <cell r="D128" t="str">
            <v>MG-029_3152600</v>
          </cell>
          <cell r="E128" t="str">
            <v>POUSO ALTO</v>
          </cell>
          <cell r="F128" t="str">
            <v>MG</v>
          </cell>
        </row>
        <row r="129">
          <cell r="B129" t="str">
            <v>SBPC</v>
          </cell>
          <cell r="C129" t="str">
            <v>EMBAIXADOR WALTHER MOREIRA SALLES</v>
          </cell>
          <cell r="D129" t="str">
            <v>MG0018_3151800</v>
          </cell>
          <cell r="E129" t="str">
            <v>POÇOS DE CALDAS</v>
          </cell>
          <cell r="F129" t="str">
            <v>MG</v>
          </cell>
        </row>
        <row r="130">
          <cell r="B130" t="str">
            <v>N240</v>
          </cell>
          <cell r="C130" t="str">
            <v>AEROPORTO PRÉ-PLANEJADO EM SEDE DE UTP</v>
          </cell>
          <cell r="D130" t="str">
            <v>MG-016_3136207</v>
          </cell>
          <cell r="E130" t="str">
            <v>JOÃO MONLEVADE</v>
          </cell>
          <cell r="F130" t="str">
            <v>MG</v>
          </cell>
        </row>
        <row r="131">
          <cell r="B131" t="str">
            <v>N848</v>
          </cell>
          <cell r="C131" t="str">
            <v>AEROPORTO PRÉ-PLANEJADO EM SEDE DE UTP</v>
          </cell>
          <cell r="D131" t="str">
            <v>CE-010_2312700</v>
          </cell>
          <cell r="E131" t="str">
            <v>SENADOR POMPEU</v>
          </cell>
          <cell r="F131" t="str">
            <v>CE</v>
          </cell>
        </row>
        <row r="132">
          <cell r="B132" t="str">
            <v>SDKK</v>
          </cell>
          <cell r="C132" t="str">
            <v>MOCOCA</v>
          </cell>
          <cell r="D132" t="str">
            <v>SP0058_3530508</v>
          </cell>
          <cell r="E132" t="str">
            <v>MOCOCA</v>
          </cell>
          <cell r="F132" t="str">
            <v>SP</v>
          </cell>
        </row>
        <row r="133">
          <cell r="B133" t="str">
            <v>N430</v>
          </cell>
          <cell r="C133" t="str">
            <v>AEROPORTO PRÉ-PLANEJADO EM SEDE DE UTP</v>
          </cell>
          <cell r="D133" t="str">
            <v>MG-037_3167004</v>
          </cell>
          <cell r="E133" t="str">
            <v>SERRANOS</v>
          </cell>
          <cell r="F133" t="str">
            <v>MG</v>
          </cell>
        </row>
        <row r="134">
          <cell r="B134" t="str">
            <v>SNGX</v>
          </cell>
          <cell r="C134" t="str">
            <v>GUAXUPÉ</v>
          </cell>
          <cell r="D134" t="str">
            <v>MG0023_3128709</v>
          </cell>
          <cell r="E134" t="str">
            <v>GUAXUPÉ</v>
          </cell>
          <cell r="F134" t="str">
            <v>MG</v>
          </cell>
        </row>
        <row r="135">
          <cell r="B135" t="str">
            <v>SNRZ</v>
          </cell>
          <cell r="C135" t="str">
            <v>OLIVEIRA</v>
          </cell>
          <cell r="D135" t="str">
            <v>MG0049_3145604</v>
          </cell>
          <cell r="E135" t="str">
            <v>OLIVEIRA</v>
          </cell>
          <cell r="F135" t="str">
            <v>MG</v>
          </cell>
        </row>
        <row r="136">
          <cell r="B136" t="str">
            <v>SSCB</v>
          </cell>
          <cell r="C136" t="str">
            <v>MUNICIPAL DE CASA BRANCA</v>
          </cell>
          <cell r="D136" t="str">
            <v>SP0044_3510807</v>
          </cell>
          <cell r="E136" t="str">
            <v>CASA BRANCA</v>
          </cell>
          <cell r="F136" t="str">
            <v>SP</v>
          </cell>
        </row>
        <row r="137">
          <cell r="B137" t="str">
            <v>SBYS</v>
          </cell>
          <cell r="C137" t="str">
            <v>CAMPO FONTENELLE</v>
          </cell>
          <cell r="D137" t="str">
            <v>SP9002_3539301</v>
          </cell>
          <cell r="E137" t="str">
            <v>Pirassununga</v>
          </cell>
          <cell r="F137" t="str">
            <v>SP</v>
          </cell>
        </row>
        <row r="138">
          <cell r="B138" t="str">
            <v>SNJR</v>
          </cell>
          <cell r="C138" t="str">
            <v>PREFEITO OCTÁVIO DE ALMEIDA NEVES</v>
          </cell>
          <cell r="D138" t="str">
            <v>MG0034_3162500</v>
          </cell>
          <cell r="E138" t="str">
            <v>SÃO JOÃO DEL REI</v>
          </cell>
          <cell r="F138" t="str">
            <v>MG</v>
          </cell>
        </row>
        <row r="139">
          <cell r="B139" t="str">
            <v>SNLI</v>
          </cell>
          <cell r="C139" t="str">
            <v>ABAETÉ</v>
          </cell>
          <cell r="D139" t="str">
            <v>MG0040_3100203</v>
          </cell>
          <cell r="E139" t="str">
            <v>ABAETÉ</v>
          </cell>
          <cell r="F139" t="str">
            <v>MG</v>
          </cell>
        </row>
        <row r="140">
          <cell r="B140" t="str">
            <v>SSCT</v>
          </cell>
          <cell r="C140" t="str">
            <v>ENGENHEIRO GASTÃO DE MESQUITA FILHO</v>
          </cell>
          <cell r="D140" t="str">
            <v>PR0025_4105508</v>
          </cell>
          <cell r="E140" t="str">
            <v>CIANORTE</v>
          </cell>
          <cell r="F140" t="str">
            <v>PR</v>
          </cell>
        </row>
        <row r="141">
          <cell r="B141" t="str">
            <v>SDPY</v>
          </cell>
          <cell r="C141" t="str">
            <v>PIRASSUNUNGA</v>
          </cell>
          <cell r="D141" t="str">
            <v>SP0066_3539301</v>
          </cell>
          <cell r="E141" t="str">
            <v>PIRASSUNUNGA</v>
          </cell>
          <cell r="F141" t="str">
            <v>SP</v>
          </cell>
        </row>
        <row r="142">
          <cell r="B142" t="str">
            <v>SNUH</v>
          </cell>
          <cell r="C142" t="str">
            <v>PIUMHI</v>
          </cell>
          <cell r="D142" t="str">
            <v>MG0054_3151503</v>
          </cell>
          <cell r="E142" t="str">
            <v>PIUMHI</v>
          </cell>
          <cell r="F142" t="str">
            <v>MG</v>
          </cell>
        </row>
        <row r="143">
          <cell r="B143" t="str">
            <v>SDZ6</v>
          </cell>
          <cell r="C143" t="str">
            <v>ALDEIA KUMARUMÃ</v>
          </cell>
          <cell r="D143" t="str">
            <v>AP0021_1600501</v>
          </cell>
          <cell r="E143" t="str">
            <v>OIAPOQUE</v>
          </cell>
          <cell r="F143" t="str">
            <v>AP</v>
          </cell>
        </row>
        <row r="144">
          <cell r="B144" t="str">
            <v>SJ3F</v>
          </cell>
          <cell r="C144" t="str">
            <v>ALDEIA KUMENÊ</v>
          </cell>
          <cell r="D144" t="str">
            <v>AP0022_1600501</v>
          </cell>
          <cell r="E144" t="str">
            <v>OIAPOQUE</v>
          </cell>
          <cell r="F144" t="str">
            <v>AP</v>
          </cell>
        </row>
        <row r="145">
          <cell r="B145" t="str">
            <v>SSGW</v>
          </cell>
          <cell r="C145" t="str">
            <v>MANOEL RIBAS</v>
          </cell>
          <cell r="D145" t="str">
            <v>PR0037_4108601</v>
          </cell>
          <cell r="E145" t="str">
            <v>GOIOERÊ</v>
          </cell>
          <cell r="F145" t="str">
            <v>PR</v>
          </cell>
        </row>
        <row r="146">
          <cell r="B146" t="str">
            <v>N530</v>
          </cell>
          <cell r="C146" t="str">
            <v>AEROPORTO PRÉ-PLANEJADO EM SEDE DE UTP</v>
          </cell>
          <cell r="D146" t="str">
            <v>CE-001_2302404</v>
          </cell>
          <cell r="E146" t="str">
            <v>BOA VIAGEM</v>
          </cell>
          <cell r="F146" t="str">
            <v>CE</v>
          </cell>
        </row>
        <row r="147">
          <cell r="B147" t="str">
            <v>SDLL</v>
          </cell>
          <cell r="C147" t="str">
            <v>YOLANDA PENTEADO</v>
          </cell>
          <cell r="D147" t="str">
            <v>SP0048_3526704</v>
          </cell>
          <cell r="E147" t="str">
            <v>LEME</v>
          </cell>
          <cell r="F147" t="str">
            <v>SP</v>
          </cell>
        </row>
        <row r="148">
          <cell r="B148" t="str">
            <v>N682</v>
          </cell>
          <cell r="C148" t="str">
            <v>AEROPORTO PRÉ-PLANEJADO EM SEDE DE UTP</v>
          </cell>
          <cell r="D148" t="str">
            <v>PB-007_2507705</v>
          </cell>
          <cell r="E148" t="str">
            <v>JUAZEIRINHO</v>
          </cell>
          <cell r="F148" t="str">
            <v>PB</v>
          </cell>
        </row>
        <row r="149">
          <cell r="B149" t="str">
            <v>N520</v>
          </cell>
          <cell r="C149" t="str">
            <v>AEROPORTO PRÉ-PLANEJADO EM SEDE DE UTP</v>
          </cell>
          <cell r="D149" t="str">
            <v>MG-003_3105103</v>
          </cell>
          <cell r="E149" t="str">
            <v>BAMBUÍ</v>
          </cell>
          <cell r="F149" t="str">
            <v>MG</v>
          </cell>
        </row>
        <row r="150">
          <cell r="B150" t="str">
            <v>SSKM</v>
          </cell>
          <cell r="C150" t="str">
            <v>CAMPO MOURÃO</v>
          </cell>
          <cell r="D150" t="str">
            <v>PR0017_4104303</v>
          </cell>
          <cell r="E150" t="str">
            <v>CAMPO MOURÃO</v>
          </cell>
          <cell r="F150" t="str">
            <v>PR</v>
          </cell>
        </row>
        <row r="151">
          <cell r="B151" t="str">
            <v>N091</v>
          </cell>
          <cell r="C151" t="str">
            <v>AEROPORTO PRÉ-PLANEJADO EM SEDE DE UTP</v>
          </cell>
          <cell r="D151" t="str">
            <v>MG-008_3110608</v>
          </cell>
          <cell r="E151" t="str">
            <v>CAMBUÍ</v>
          </cell>
          <cell r="F151" t="str">
            <v>MG</v>
          </cell>
        </row>
        <row r="152">
          <cell r="B152" t="str">
            <v>N799</v>
          </cell>
          <cell r="C152" t="str">
            <v>AEROPORTO PRÉ-PLANEJADO EM SEDE DE UTP</v>
          </cell>
          <cell r="D152" t="str">
            <v>RR-005_1400472</v>
          </cell>
          <cell r="E152" t="str">
            <v>RORAINÓPOLIS</v>
          </cell>
          <cell r="F152" t="str">
            <v>RR</v>
          </cell>
        </row>
        <row r="153">
          <cell r="B153" t="str">
            <v>SWRD</v>
          </cell>
          <cell r="C153" t="str">
            <v>CHÁCARA RONDOAGRO</v>
          </cell>
          <cell r="D153" t="str">
            <v>RO0033_1100320</v>
          </cell>
          <cell r="E153" t="str">
            <v>SÃO MIGUEL DO GUAPORÉ</v>
          </cell>
          <cell r="F153" t="str">
            <v>RO</v>
          </cell>
        </row>
        <row r="154">
          <cell r="B154" t="str">
            <v>N510</v>
          </cell>
          <cell r="C154" t="str">
            <v>AEROPORTO PRÉ-PLANEJADO EM SEDE DE UTP</v>
          </cell>
          <cell r="D154" t="str">
            <v>TO-001_1702000</v>
          </cell>
          <cell r="E154" t="str">
            <v>ARAGUAÇU</v>
          </cell>
          <cell r="F154" t="str">
            <v>TO</v>
          </cell>
        </row>
        <row r="155">
          <cell r="B155" t="str">
            <v>N139</v>
          </cell>
          <cell r="C155" t="str">
            <v>AEROPORTO PRÉ-PLANEJADO EM SEDE DE UTP</v>
          </cell>
          <cell r="D155" t="str">
            <v>AP-001_1600105</v>
          </cell>
          <cell r="E155" t="str">
            <v>AMAPÁ</v>
          </cell>
          <cell r="F155" t="str">
            <v>AP</v>
          </cell>
        </row>
        <row r="156">
          <cell r="B156" t="str">
            <v>N137</v>
          </cell>
          <cell r="C156" t="str">
            <v>AEROPORTO PRÉ-PLANEJADO EM SEDE DE UTP</v>
          </cell>
          <cell r="D156" t="str">
            <v>SP-008_3513405</v>
          </cell>
          <cell r="E156" t="str">
            <v>CRUZEIRO</v>
          </cell>
          <cell r="F156" t="str">
            <v>SP</v>
          </cell>
        </row>
        <row r="157">
          <cell r="B157" t="str">
            <v>N876</v>
          </cell>
          <cell r="C157" t="str">
            <v>AEROPORTO PRÉ-PLANEJADO EM SEDE DE UTP</v>
          </cell>
          <cell r="D157" t="str">
            <v>PA-023_1508159</v>
          </cell>
          <cell r="E157" t="str">
            <v>URUARÁ</v>
          </cell>
          <cell r="F157" t="str">
            <v>PA</v>
          </cell>
        </row>
        <row r="158">
          <cell r="B158" t="str">
            <v>N546</v>
          </cell>
          <cell r="C158" t="str">
            <v>AEROPORTO PRÉ-PLANEJADO EM SEDE DE UTP</v>
          </cell>
          <cell r="D158" t="str">
            <v>RO-002_1100452</v>
          </cell>
          <cell r="E158" t="str">
            <v>BURITIS</v>
          </cell>
          <cell r="F158" t="str">
            <v>RO</v>
          </cell>
        </row>
        <row r="159">
          <cell r="B159" t="str">
            <v>SNOU</v>
          </cell>
          <cell r="C159" t="str">
            <v>NOVO AERÓDROMO DE FEIJÓ</v>
          </cell>
          <cell r="D159" t="str">
            <v>AC0003_1200302</v>
          </cell>
          <cell r="E159" t="str">
            <v>FEIJÓ</v>
          </cell>
          <cell r="F159" t="str">
            <v>AC</v>
          </cell>
        </row>
        <row r="160">
          <cell r="B160" t="str">
            <v>N470</v>
          </cell>
          <cell r="C160" t="str">
            <v>AEROPORTO PRÉ-PLANEJADO EM SEDE DE UTP</v>
          </cell>
          <cell r="D160" t="str">
            <v>MG-018_3138401</v>
          </cell>
          <cell r="E160" t="str">
            <v>LEOPOLDINA</v>
          </cell>
          <cell r="F160" t="str">
            <v>MG</v>
          </cell>
        </row>
        <row r="161">
          <cell r="B161" t="str">
            <v>N011</v>
          </cell>
          <cell r="C161" t="str">
            <v>AEROPORTO PRÉ-PLANEJADO EM SEDE DE UTP</v>
          </cell>
          <cell r="D161" t="str">
            <v>RO-004_1100130</v>
          </cell>
          <cell r="E161" t="str">
            <v>MACHADINHO D'OESTE</v>
          </cell>
          <cell r="F161" t="str">
            <v>RO</v>
          </cell>
        </row>
        <row r="162">
          <cell r="B162" t="str">
            <v>N132</v>
          </cell>
          <cell r="C162" t="str">
            <v>AEROPORTO PRÉ-PLANEJADO EM SEDE DE UTP</v>
          </cell>
          <cell r="D162" t="str">
            <v>PA-019_1507300</v>
          </cell>
          <cell r="E162" t="str">
            <v>SÃO FÉLIX DO XINGU</v>
          </cell>
          <cell r="F162" t="str">
            <v>PA</v>
          </cell>
        </row>
        <row r="163">
          <cell r="B163" t="str">
            <v>SNOE</v>
          </cell>
          <cell r="C163" t="str">
            <v>OEIRAS</v>
          </cell>
          <cell r="D163" t="str">
            <v>PI0008_2207009</v>
          </cell>
          <cell r="E163" t="str">
            <v>OEIRAS</v>
          </cell>
          <cell r="F163" t="str">
            <v>PI</v>
          </cell>
        </row>
        <row r="164">
          <cell r="B164" t="str">
            <v>N086</v>
          </cell>
          <cell r="C164" t="str">
            <v>AEROPORTO PRÉ-PLANEJADO FORA DE SEDE DE UTP</v>
          </cell>
          <cell r="D164" t="str">
            <v>PA-004_1501204</v>
          </cell>
          <cell r="E164" t="str">
            <v>BAIÃO</v>
          </cell>
          <cell r="F164" t="str">
            <v>PA</v>
          </cell>
        </row>
        <row r="165">
          <cell r="B165" t="str">
            <v>N800</v>
          </cell>
          <cell r="C165" t="str">
            <v>AEROPORTO PRÉ-PLANEJADO EM SEDE DE UTP</v>
          </cell>
          <cell r="D165" t="str">
            <v>RS-024_4317301</v>
          </cell>
          <cell r="E165" t="str">
            <v>SANTA VITÓRIA DO PALMAR</v>
          </cell>
          <cell r="F165" t="str">
            <v>RS</v>
          </cell>
        </row>
        <row r="166">
          <cell r="B166" t="str">
            <v>N186</v>
          </cell>
          <cell r="C166" t="str">
            <v>AEROPORTO PRÉ-PLANEJADO EM SEDE DE UTP</v>
          </cell>
          <cell r="D166" t="str">
            <v>AC-002_1200104</v>
          </cell>
          <cell r="E166" t="str">
            <v>BRASILÉIA</v>
          </cell>
          <cell r="F166" t="str">
            <v>AC</v>
          </cell>
        </row>
        <row r="167">
          <cell r="B167" t="str">
            <v>SSPT</v>
          </cell>
          <cell r="C167" t="str">
            <v>BRASÍLIO MARQUES</v>
          </cell>
          <cell r="D167" t="str">
            <v>PR0028_4117909</v>
          </cell>
          <cell r="E167" t="str">
            <v>PALOTINA</v>
          </cell>
          <cell r="F167" t="str">
            <v>PR</v>
          </cell>
        </row>
        <row r="168">
          <cell r="B168" t="str">
            <v>SSLS</v>
          </cell>
          <cell r="C168" t="str">
            <v>AERÓDROMO PÚBLICO DE RUY BARBOSA</v>
          </cell>
          <cell r="D168" t="str">
            <v>BA0035_2927200</v>
          </cell>
          <cell r="E168" t="str">
            <v>RUY BARBOSA</v>
          </cell>
          <cell r="F168" t="str">
            <v>BA</v>
          </cell>
        </row>
        <row r="169">
          <cell r="B169" t="str">
            <v>SDET</v>
          </cell>
          <cell r="C169" t="str">
            <v>TIETÊ</v>
          </cell>
          <cell r="D169" t="str">
            <v>SP0067_3554508</v>
          </cell>
          <cell r="E169" t="str">
            <v>TIETÊ</v>
          </cell>
          <cell r="F169" t="str">
            <v>SP</v>
          </cell>
        </row>
        <row r="170">
          <cell r="B170" t="str">
            <v>SWCZ</v>
          </cell>
          <cell r="C170" t="str">
            <v>CERES</v>
          </cell>
          <cell r="D170" t="str">
            <v>GO0024_5205406</v>
          </cell>
          <cell r="E170" t="str">
            <v>CERES</v>
          </cell>
          <cell r="F170" t="str">
            <v>GO</v>
          </cell>
        </row>
        <row r="171">
          <cell r="B171" t="str">
            <v>N893</v>
          </cell>
          <cell r="C171" t="str">
            <v>AEROPORTO PRÉ-PLANEJADO EM SEDE DE UTP</v>
          </cell>
          <cell r="D171" t="str">
            <v>PA-024_1508308</v>
          </cell>
          <cell r="E171" t="str">
            <v>VISEU</v>
          </cell>
          <cell r="F171" t="str">
            <v>PA</v>
          </cell>
        </row>
        <row r="172">
          <cell r="B172" t="str">
            <v>N266</v>
          </cell>
          <cell r="C172" t="str">
            <v>AEROPORTO PRÉ-PLANEJADO FORA DE SEDE DE UTP</v>
          </cell>
          <cell r="D172" t="str">
            <v>PA-002_1500305</v>
          </cell>
          <cell r="E172" t="str">
            <v>AFUÁ</v>
          </cell>
          <cell r="F172" t="str">
            <v>PA</v>
          </cell>
        </row>
        <row r="173">
          <cell r="B173" t="str">
            <v>N181</v>
          </cell>
          <cell r="C173" t="str">
            <v>AEROPORTO PRÉ-PLANEJADO EM SEDE DE UTP</v>
          </cell>
          <cell r="D173" t="str">
            <v>AC-001_1200054</v>
          </cell>
          <cell r="E173" t="str">
            <v>ASSIS BRASIL</v>
          </cell>
          <cell r="F173" t="str">
            <v>AC</v>
          </cell>
        </row>
        <row r="174">
          <cell r="B174" t="str">
            <v>SWWU</v>
          </cell>
          <cell r="C174" t="str">
            <v>URUAÇU</v>
          </cell>
          <cell r="D174" t="str">
            <v>GO0013_5221601</v>
          </cell>
          <cell r="E174" t="str">
            <v>URUAÇU</v>
          </cell>
          <cell r="F174" t="str">
            <v>GO</v>
          </cell>
        </row>
        <row r="175">
          <cell r="B175" t="str">
            <v>N917</v>
          </cell>
          <cell r="C175" t="str">
            <v>AEROPORTO PRÉ-PLANEJADO EM SEDE DE UTP</v>
          </cell>
          <cell r="D175" t="str">
            <v>GO-008_5209903</v>
          </cell>
          <cell r="E175" t="str">
            <v>IACIARA</v>
          </cell>
          <cell r="F175" t="str">
            <v>GO</v>
          </cell>
        </row>
        <row r="176">
          <cell r="B176" t="str">
            <v>N498</v>
          </cell>
          <cell r="C176" t="str">
            <v>AEROPORTO PRÉ-PLANEJADO FORA DE SEDE DE UTP</v>
          </cell>
          <cell r="D176" t="str">
            <v>RO-001_1100346</v>
          </cell>
          <cell r="E176" t="str">
            <v>ALVORADA D'OESTE</v>
          </cell>
          <cell r="F176" t="str">
            <v>RO</v>
          </cell>
        </row>
        <row r="177">
          <cell r="B177" t="str">
            <v>SWNK</v>
          </cell>
          <cell r="C177" t="str">
            <v>NOVO CAMPO</v>
          </cell>
          <cell r="D177" t="str">
            <v>AM0011_1300706</v>
          </cell>
          <cell r="E177" t="str">
            <v>BOCA DO ACRE</v>
          </cell>
          <cell r="F177" t="str">
            <v>AM</v>
          </cell>
        </row>
        <row r="178">
          <cell r="B178" t="str">
            <v>SSTB</v>
          </cell>
          <cell r="C178" t="str">
            <v>TRÊS BARRAS</v>
          </cell>
          <cell r="D178" t="str">
            <v>SC0013_4218301</v>
          </cell>
          <cell r="E178" t="str">
            <v>TRÊS BARRAS</v>
          </cell>
          <cell r="F178" t="str">
            <v>SC</v>
          </cell>
        </row>
        <row r="179">
          <cell r="B179" t="str">
            <v>N058</v>
          </cell>
          <cell r="C179" t="str">
            <v>AEROPORTO PRÉ-PLANEJADO EM SEDE DE UTP</v>
          </cell>
          <cell r="D179" t="str">
            <v>AM-008_1303106</v>
          </cell>
          <cell r="E179" t="str">
            <v>NOVA OLINDA DO NORTE</v>
          </cell>
          <cell r="F179" t="str">
            <v>AM</v>
          </cell>
        </row>
        <row r="180">
          <cell r="B180" t="str">
            <v>SNTQ</v>
          </cell>
          <cell r="C180" t="str">
            <v>BURITIRAMA</v>
          </cell>
          <cell r="D180" t="str">
            <v>BA0053_2904753</v>
          </cell>
          <cell r="E180" t="str">
            <v>BURITIRAMA</v>
          </cell>
          <cell r="F180" t="str">
            <v>BA</v>
          </cell>
        </row>
        <row r="181">
          <cell r="B181" t="str">
            <v>N013</v>
          </cell>
          <cell r="C181" t="str">
            <v>AEROPORTO PRÉ-PLANEJADO EM SEDE DE UTP</v>
          </cell>
          <cell r="D181" t="str">
            <v>GO-001_5200803</v>
          </cell>
          <cell r="E181" t="str">
            <v>ALVORADA DO NORTE</v>
          </cell>
          <cell r="F181" t="str">
            <v>GO</v>
          </cell>
        </row>
        <row r="182">
          <cell r="B182" t="str">
            <v>SNBG</v>
          </cell>
          <cell r="C182" t="str">
            <v>BAIXO GUANDU - AIMORÉS</v>
          </cell>
          <cell r="D182" t="str">
            <v>ES0005_3200805</v>
          </cell>
          <cell r="E182" t="str">
            <v>BAIXO GUANDU</v>
          </cell>
          <cell r="F182" t="str">
            <v>ES</v>
          </cell>
        </row>
        <row r="183">
          <cell r="B183" t="str">
            <v>SNKC</v>
          </cell>
          <cell r="C183" t="str">
            <v>COCOS</v>
          </cell>
          <cell r="D183" t="str">
            <v>BA0058_2908101</v>
          </cell>
          <cell r="E183" t="str">
            <v>COCOS</v>
          </cell>
          <cell r="F183" t="str">
            <v>BA</v>
          </cell>
        </row>
        <row r="184">
          <cell r="B184" t="str">
            <v>SNSI</v>
          </cell>
          <cell r="C184" t="str">
            <v>SANTA MARIA DO SUAÇUÍ</v>
          </cell>
          <cell r="D184" t="str">
            <v>MG0076_3136553</v>
          </cell>
          <cell r="E184" t="str">
            <v>JOSÉ RAYDAN</v>
          </cell>
          <cell r="F184" t="str">
            <v>MG</v>
          </cell>
        </row>
        <row r="185">
          <cell r="B185" t="str">
            <v>SDKJ</v>
          </cell>
          <cell r="C185" t="str">
            <v>FORMOSA DO RIO PRETO</v>
          </cell>
          <cell r="D185" t="str">
            <v>BA0025_2911105</v>
          </cell>
          <cell r="E185" t="str">
            <v>FORMOSA DO RIO PRETO</v>
          </cell>
          <cell r="F185" t="str">
            <v>BA</v>
          </cell>
        </row>
        <row r="186">
          <cell r="B186" t="str">
            <v>N078</v>
          </cell>
          <cell r="C186" t="str">
            <v>AEROPORTO PRÉ-PLANEJADO EM SEDE DE UTP</v>
          </cell>
          <cell r="D186" t="str">
            <v>RR-002_1400407</v>
          </cell>
          <cell r="E186" t="str">
            <v>NORMANDIA</v>
          </cell>
          <cell r="F186" t="str">
            <v>RR</v>
          </cell>
        </row>
        <row r="187">
          <cell r="B187" t="str">
            <v>SWEE</v>
          </cell>
          <cell r="C187" t="str">
            <v>ESTIRÃO DO EQUADOR</v>
          </cell>
          <cell r="D187" t="str">
            <v>AM9004_1300201</v>
          </cell>
          <cell r="E187" t="str">
            <v>Atalaia do Norte</v>
          </cell>
          <cell r="F187" t="str">
            <v>AM</v>
          </cell>
        </row>
        <row r="188">
          <cell r="B188" t="str">
            <v>SDAA</v>
          </cell>
          <cell r="C188" t="str">
            <v>ARARAS</v>
          </cell>
          <cell r="D188" t="str">
            <v>SP0045_3503307</v>
          </cell>
          <cell r="E188" t="str">
            <v>ARARAS</v>
          </cell>
          <cell r="F188" t="str">
            <v>SP</v>
          </cell>
        </row>
        <row r="189">
          <cell r="B189" t="str">
            <v>SNUN</v>
          </cell>
          <cell r="C189" t="str">
            <v>UNAÍ</v>
          </cell>
          <cell r="D189" t="str">
            <v>MG0055_3170404</v>
          </cell>
          <cell r="E189" t="str">
            <v>UNAÍ</v>
          </cell>
          <cell r="F189" t="str">
            <v>MG</v>
          </cell>
        </row>
        <row r="190">
          <cell r="B190" t="str">
            <v>SJ94</v>
          </cell>
          <cell r="C190" t="str">
            <v>IPAMERI</v>
          </cell>
          <cell r="D190" t="str">
            <v>GO0026_5210109</v>
          </cell>
          <cell r="E190" t="str">
            <v>IPAMERI</v>
          </cell>
          <cell r="F190" t="str">
            <v>GO</v>
          </cell>
        </row>
        <row r="191">
          <cell r="B191" t="str">
            <v>SDL4</v>
          </cell>
          <cell r="C191" t="str">
            <v>PORTO WALTER</v>
          </cell>
          <cell r="D191" t="str">
            <v>AC0008_1200393</v>
          </cell>
          <cell r="E191" t="str">
            <v>PORTO WALTER</v>
          </cell>
          <cell r="F191" t="str">
            <v>AC</v>
          </cell>
        </row>
        <row r="192">
          <cell r="B192" t="str">
            <v>SNUT</v>
          </cell>
          <cell r="C192" t="str">
            <v>DE UTINGA</v>
          </cell>
          <cell r="D192" t="str">
            <v>BA0017_2932804</v>
          </cell>
          <cell r="E192" t="str">
            <v>UTINGA</v>
          </cell>
          <cell r="F192" t="str">
            <v>BA</v>
          </cell>
        </row>
        <row r="193">
          <cell r="B193" t="str">
            <v>N375</v>
          </cell>
          <cell r="C193" t="str">
            <v>AEROPORTO PRÉ-PLANEJADO FORA DE SEDE DE UTP</v>
          </cell>
          <cell r="D193" t="str">
            <v>BA-023_2924405</v>
          </cell>
          <cell r="E193" t="str">
            <v>PILÃO ARCADO</v>
          </cell>
          <cell r="F193" t="str">
            <v>BA</v>
          </cell>
        </row>
        <row r="194">
          <cell r="B194" t="str">
            <v>SSRK</v>
          </cell>
          <cell r="C194" t="str">
            <v>CAMPO ALEGRE DE LOURDES</v>
          </cell>
          <cell r="D194" t="str">
            <v>BA0015_2905909</v>
          </cell>
          <cell r="E194" t="str">
            <v>CAMPO ALEGRE DE LOURDES</v>
          </cell>
          <cell r="F194" t="str">
            <v>BA</v>
          </cell>
        </row>
        <row r="195">
          <cell r="B195" t="str">
            <v>SWPZ</v>
          </cell>
          <cell r="C195" t="str">
            <v>OURIÇANGA DE ABREU</v>
          </cell>
          <cell r="D195" t="str">
            <v>GO0010_5218300</v>
          </cell>
          <cell r="E195" t="str">
            <v>POSSE</v>
          </cell>
          <cell r="F195" t="str">
            <v>GO</v>
          </cell>
        </row>
        <row r="196">
          <cell r="B196" t="str">
            <v>N145</v>
          </cell>
          <cell r="C196" t="str">
            <v>AEROPORTO PRÉ-PLANEJADO EM SEDE DE UTP</v>
          </cell>
          <cell r="D196" t="str">
            <v>TO-002_1702406</v>
          </cell>
          <cell r="E196" t="str">
            <v>ARRAIAS</v>
          </cell>
          <cell r="F196" t="str">
            <v>TO</v>
          </cell>
        </row>
        <row r="197">
          <cell r="B197" t="str">
            <v>SWOW</v>
          </cell>
          <cell r="C197" t="str">
            <v>MOURA</v>
          </cell>
          <cell r="D197" t="str">
            <v>AM9003_1300409</v>
          </cell>
          <cell r="E197" t="str">
            <v>BARCELOS</v>
          </cell>
          <cell r="F197" t="str">
            <v>AM</v>
          </cell>
        </row>
        <row r="198">
          <cell r="B198" t="str">
            <v>N593</v>
          </cell>
          <cell r="C198" t="str">
            <v>AEROPORTO PRÉ-PLANEJADO EM SEDE DE UTP</v>
          </cell>
          <cell r="D198" t="str">
            <v>AM-004_1301308</v>
          </cell>
          <cell r="E198" t="str">
            <v>CODAJÁS</v>
          </cell>
          <cell r="F198" t="str">
            <v>AM</v>
          </cell>
        </row>
        <row r="199">
          <cell r="B199" t="str">
            <v>N911</v>
          </cell>
          <cell r="C199" t="str">
            <v>AEROPORTO PRÉ-PLANEJADO EM SEDE DE UTP</v>
          </cell>
          <cell r="D199" t="str">
            <v>GO-004_5205307</v>
          </cell>
          <cell r="E199" t="str">
            <v>CAVALCANTE</v>
          </cell>
          <cell r="F199" t="str">
            <v>GO</v>
          </cell>
        </row>
        <row r="200">
          <cell r="B200" t="str">
            <v>N188</v>
          </cell>
          <cell r="C200" t="str">
            <v>AEROPORTO PRÉ-PLANEJADO EM SEDE DE UTP</v>
          </cell>
          <cell r="D200" t="str">
            <v>MA-021_2112605</v>
          </cell>
          <cell r="E200" t="str">
            <v>URBANO SANTOS</v>
          </cell>
          <cell r="F200" t="str">
            <v>MA</v>
          </cell>
        </row>
        <row r="201">
          <cell r="B201" t="str">
            <v>N461</v>
          </cell>
          <cell r="C201" t="str">
            <v>AEROPORTO PRÉ-PLANEJADO EM SEDE DE UTP</v>
          </cell>
          <cell r="D201" t="str">
            <v>MG-015_3135209</v>
          </cell>
          <cell r="E201" t="str">
            <v>JANUÁRIA</v>
          </cell>
          <cell r="F201" t="str">
            <v>MG</v>
          </cell>
        </row>
        <row r="202">
          <cell r="B202" t="str">
            <v>N693</v>
          </cell>
          <cell r="C202" t="str">
            <v>AEROPORTO PRÉ-PLANEJADO EM SEDE DE UTP</v>
          </cell>
          <cell r="D202" t="str">
            <v>TO-008_1712405</v>
          </cell>
          <cell r="E202" t="str">
            <v>LIZARDA</v>
          </cell>
          <cell r="F202" t="str">
            <v>TO</v>
          </cell>
        </row>
        <row r="203">
          <cell r="B203" t="str">
            <v>SNPQ</v>
          </cell>
          <cell r="C203" t="str">
            <v>PESQUEIRA</v>
          </cell>
          <cell r="D203" t="str">
            <v>PE0010_2610905</v>
          </cell>
          <cell r="E203" t="str">
            <v>PESQUEIRA</v>
          </cell>
          <cell r="F203" t="str">
            <v>PE</v>
          </cell>
        </row>
        <row r="204">
          <cell r="B204" t="str">
            <v>N089</v>
          </cell>
          <cell r="C204" t="str">
            <v>AEROPORTO PRÉ-PLANEJADO EM SEDE DE UTP</v>
          </cell>
          <cell r="D204" t="str">
            <v>RN-002_2401859</v>
          </cell>
          <cell r="E204" t="str">
            <v>CAIÇARA DO NORTE</v>
          </cell>
          <cell r="F204" t="str">
            <v>RN</v>
          </cell>
        </row>
        <row r="205">
          <cell r="B205" t="str">
            <v>SNRP</v>
          </cell>
          <cell r="C205" t="str">
            <v>RIO PARANAÍBA</v>
          </cell>
          <cell r="D205" t="str">
            <v>MG0066_3155504</v>
          </cell>
          <cell r="E205" t="str">
            <v>RIO PARANAÍBA</v>
          </cell>
          <cell r="F205" t="str">
            <v>MG</v>
          </cell>
        </row>
        <row r="206">
          <cell r="B206" t="str">
            <v>SDX4</v>
          </cell>
          <cell r="C206" t="str">
            <v>CANTO DO BURITI</v>
          </cell>
          <cell r="D206" t="str">
            <v>PI0093_2202307</v>
          </cell>
          <cell r="E206" t="str">
            <v>CANTO DO BURITI</v>
          </cell>
          <cell r="F206" t="str">
            <v>PI</v>
          </cell>
        </row>
        <row r="207">
          <cell r="B207" t="str">
            <v>SICK</v>
          </cell>
          <cell r="C207" t="str">
            <v>DR. JUCELINO JOSÉ RIBEIRO</v>
          </cell>
          <cell r="D207" t="str">
            <v>MG0092_3112307</v>
          </cell>
          <cell r="E207" t="str">
            <v>CAPELINHA</v>
          </cell>
          <cell r="F207" t="str">
            <v>MG</v>
          </cell>
        </row>
        <row r="208">
          <cell r="B208" t="str">
            <v>N808</v>
          </cell>
          <cell r="C208" t="str">
            <v>AEROPORTO PRÉ-PLANEJADO EM SEDE DE UTP</v>
          </cell>
          <cell r="D208" t="str">
            <v>PA-017_1506401</v>
          </cell>
          <cell r="E208" t="str">
            <v>SANTA CRUZ DO ARARI</v>
          </cell>
          <cell r="F208" t="str">
            <v>PA</v>
          </cell>
        </row>
        <row r="209">
          <cell r="B209" t="str">
            <v>SNKS</v>
          </cell>
          <cell r="C209" t="str">
            <v>SANTA RITA DE CÁSSIA</v>
          </cell>
          <cell r="D209" t="str">
            <v>BA0064_2928406</v>
          </cell>
          <cell r="E209" t="str">
            <v>SANTA RITA DE CÁSSIA</v>
          </cell>
          <cell r="F209" t="str">
            <v>BA</v>
          </cell>
        </row>
        <row r="210">
          <cell r="B210" t="str">
            <v>N529</v>
          </cell>
          <cell r="C210" t="str">
            <v>AEROPORTO PRÉ-PLANEJADO EM SEDE DE UTP</v>
          </cell>
          <cell r="D210" t="str">
            <v>MG-040_3169703</v>
          </cell>
          <cell r="E210" t="str">
            <v>TURMALINA</v>
          </cell>
          <cell r="F210" t="str">
            <v>MG</v>
          </cell>
        </row>
        <row r="211">
          <cell r="B211" t="str">
            <v>SNGB</v>
          </cell>
          <cell r="C211" t="str">
            <v>GILBUÉS</v>
          </cell>
          <cell r="D211" t="str">
            <v>PI0011_2204402</v>
          </cell>
          <cell r="E211" t="str">
            <v>GILBUÉS</v>
          </cell>
          <cell r="F211" t="str">
            <v>PI</v>
          </cell>
        </row>
        <row r="212">
          <cell r="B212" t="str">
            <v>SDFX</v>
          </cell>
          <cell r="C212" t="str">
            <v>CASA NOVA</v>
          </cell>
          <cell r="D212" t="str">
            <v>BA0054_2907202</v>
          </cell>
          <cell r="E212" t="str">
            <v>CASA NOVA</v>
          </cell>
          <cell r="F212" t="str">
            <v>BA</v>
          </cell>
        </row>
        <row r="213">
          <cell r="B213" t="str">
            <v>SNKR</v>
          </cell>
          <cell r="C213" t="str">
            <v>CORRENTE</v>
          </cell>
          <cell r="D213" t="str">
            <v>PI0012_2202901</v>
          </cell>
          <cell r="E213" t="str">
            <v>CORRENTE</v>
          </cell>
          <cell r="F213" t="str">
            <v>PI</v>
          </cell>
        </row>
        <row r="214">
          <cell r="B214" t="str">
            <v>N825</v>
          </cell>
          <cell r="C214" t="str">
            <v>AEROPORTO PRÉ-PLANEJADO EM SEDE DE UTP</v>
          </cell>
          <cell r="D214" t="str">
            <v>MS-005_5002605</v>
          </cell>
          <cell r="E214" t="str">
            <v>CAMAPUÃ</v>
          </cell>
          <cell r="F214" t="str">
            <v>MS</v>
          </cell>
        </row>
        <row r="215">
          <cell r="B215" t="str">
            <v>N714</v>
          </cell>
          <cell r="C215" t="str">
            <v>AEROPORTO PRÉ-PLANEJADO EM SEDE DE UTP</v>
          </cell>
          <cell r="D215" t="str">
            <v>MG-021_3142700</v>
          </cell>
          <cell r="E215" t="str">
            <v>MONTALVÂNIA</v>
          </cell>
          <cell r="F215" t="str">
            <v>MG</v>
          </cell>
        </row>
        <row r="216">
          <cell r="B216" t="str">
            <v>SDX9</v>
          </cell>
          <cell r="C216" t="str">
            <v>RIBEIRO GONÇALVES</v>
          </cell>
          <cell r="D216" t="str">
            <v>PI0091_2208908</v>
          </cell>
          <cell r="E216" t="str">
            <v>RIBEIRO GONÇALVES</v>
          </cell>
          <cell r="F216" t="str">
            <v>PI</v>
          </cell>
        </row>
        <row r="217">
          <cell r="B217" t="str">
            <v>SNRM</v>
          </cell>
          <cell r="C217" t="str">
            <v>REMANSO</v>
          </cell>
          <cell r="D217" t="str">
            <v>BA0022_2926004</v>
          </cell>
          <cell r="E217" t="str">
            <v>REMANSO</v>
          </cell>
          <cell r="F217" t="str">
            <v>BA</v>
          </cell>
        </row>
        <row r="218">
          <cell r="B218" t="str">
            <v>SDOV</v>
          </cell>
          <cell r="C218" t="str">
            <v>MOZARLÂNDIA</v>
          </cell>
          <cell r="D218" t="str">
            <v>GO0005_5214002</v>
          </cell>
          <cell r="E218" t="str">
            <v>MOZARLÂNDIA</v>
          </cell>
          <cell r="F218" t="str">
            <v>GO</v>
          </cell>
        </row>
        <row r="219">
          <cell r="B219" t="str">
            <v>SWCB</v>
          </cell>
          <cell r="C219" t="str">
            <v>CAMPOS BELOS</v>
          </cell>
          <cell r="D219" t="str">
            <v>GO0023_5204904</v>
          </cell>
          <cell r="E219" t="str">
            <v>CAMPOS BELOS</v>
          </cell>
          <cell r="F219" t="str">
            <v>GO</v>
          </cell>
        </row>
        <row r="220">
          <cell r="B220" t="str">
            <v>SWFX</v>
          </cell>
          <cell r="C220" t="str">
            <v>SÃO FÉLIX DO ARAGUAIA</v>
          </cell>
          <cell r="D220" t="str">
            <v>MT0022_5107859</v>
          </cell>
          <cell r="E220" t="str">
            <v>SÃO FÉLIX DO ARAGUAIA</v>
          </cell>
          <cell r="F220" t="str">
            <v>MT</v>
          </cell>
        </row>
        <row r="221">
          <cell r="B221" t="str">
            <v>SBQI</v>
          </cell>
          <cell r="C221" t="str">
            <v>CARACARAI</v>
          </cell>
          <cell r="D221" t="str">
            <v>RR9001_1400209</v>
          </cell>
          <cell r="E221" t="str">
            <v>CARACARAÍ</v>
          </cell>
          <cell r="F221" t="str">
            <v>RR</v>
          </cell>
        </row>
        <row r="222">
          <cell r="B222" t="str">
            <v>N100</v>
          </cell>
          <cell r="C222" t="str">
            <v>AEROPORTO PRÉ-PLANEJADO EM SEDE DE UTP</v>
          </cell>
          <cell r="D222" t="str">
            <v>PA-014_1503101</v>
          </cell>
          <cell r="E222" t="str">
            <v>GURUPÁ</v>
          </cell>
          <cell r="F222" t="str">
            <v>PA</v>
          </cell>
        </row>
        <row r="223">
          <cell r="B223" t="str">
            <v>SWNQ</v>
          </cell>
          <cell r="C223" t="str">
            <v>NIQUELÂNDIA</v>
          </cell>
          <cell r="D223" t="str">
            <v>GO0016_5214606</v>
          </cell>
          <cell r="E223" t="str">
            <v>NIQUELÂNDIA</v>
          </cell>
          <cell r="F223" t="str">
            <v>GO</v>
          </cell>
        </row>
        <row r="224">
          <cell r="B224" t="str">
            <v>N187</v>
          </cell>
          <cell r="C224" t="str">
            <v>AEROPORTO PRÉ-PLANEJADO EM SEDE DE UTP</v>
          </cell>
          <cell r="D224" t="str">
            <v>MA-020_2112407</v>
          </cell>
          <cell r="E224" t="str">
            <v>TURIAÇU</v>
          </cell>
          <cell r="F224" t="str">
            <v>MA</v>
          </cell>
        </row>
        <row r="225">
          <cell r="B225" t="str">
            <v>N468</v>
          </cell>
          <cell r="C225" t="str">
            <v>AEROPORTO PRÉ-PLANEJADO EM SEDE DE UTP</v>
          </cell>
          <cell r="D225" t="str">
            <v>PI-005_2211209</v>
          </cell>
          <cell r="E225" t="str">
            <v>URUÇUÍ</v>
          </cell>
          <cell r="F225" t="str">
            <v>PI</v>
          </cell>
        </row>
        <row r="226">
          <cell r="B226" t="str">
            <v>N331</v>
          </cell>
          <cell r="C226" t="str">
            <v>AEROPORTO PRÉ-PLANEJADO FORA DE SEDE DE UTP</v>
          </cell>
          <cell r="D226" t="str">
            <v>BA-011_2909109</v>
          </cell>
          <cell r="E226" t="str">
            <v>CORIBE</v>
          </cell>
          <cell r="F226" t="str">
            <v>BA</v>
          </cell>
        </row>
        <row r="227">
          <cell r="B227" t="str">
            <v>SSSB</v>
          </cell>
          <cell r="C227" t="str">
            <v>SÃO BORJA</v>
          </cell>
          <cell r="D227" t="str">
            <v>RS0014_4318002</v>
          </cell>
          <cell r="E227" t="str">
            <v>SÃO BORJA</v>
          </cell>
          <cell r="F227" t="str">
            <v>RS</v>
          </cell>
        </row>
        <row r="228">
          <cell r="B228" t="str">
            <v>SNUI</v>
          </cell>
          <cell r="C228" t="str">
            <v>ARAÇUAÍ</v>
          </cell>
          <cell r="D228" t="str">
            <v>MG0045_3103405</v>
          </cell>
          <cell r="E228" t="str">
            <v>ARAÇUAÍ</v>
          </cell>
          <cell r="F228" t="str">
            <v>MG</v>
          </cell>
        </row>
        <row r="229">
          <cell r="B229" t="str">
            <v>N817</v>
          </cell>
          <cell r="C229" t="str">
            <v>AEROPORTO PRÉ-PLANEJADO EM SEDE DE UTP</v>
          </cell>
          <cell r="D229" t="str">
            <v>MG-034_3159803</v>
          </cell>
          <cell r="E229" t="str">
            <v>SANTA VITÓRIA</v>
          </cell>
          <cell r="F229" t="str">
            <v>MG</v>
          </cell>
        </row>
        <row r="230">
          <cell r="B230" t="str">
            <v>N638</v>
          </cell>
          <cell r="C230" t="str">
            <v>AEROPORTO PRÉ-PLANEJADO EM SEDE DE UTP</v>
          </cell>
          <cell r="D230" t="str">
            <v>TO-005_1709005</v>
          </cell>
          <cell r="E230" t="str">
            <v>GOIATINS</v>
          </cell>
          <cell r="F230" t="str">
            <v>TO</v>
          </cell>
        </row>
        <row r="231">
          <cell r="B231" t="str">
            <v>SDOW</v>
          </cell>
          <cell r="C231" t="str">
            <v>OURILÂNDIA DO NORTE</v>
          </cell>
          <cell r="D231" t="str">
            <v>PA0021_1505437</v>
          </cell>
          <cell r="E231" t="str">
            <v>OURILÂNDIA DO NORTE</v>
          </cell>
          <cell r="F231" t="str">
            <v>PA</v>
          </cell>
        </row>
        <row r="232">
          <cell r="B232" t="str">
            <v>N501</v>
          </cell>
          <cell r="C232" t="str">
            <v>AEROPORTO PRÉ-PLANEJADO EM SEDE DE UTP</v>
          </cell>
          <cell r="D232" t="str">
            <v>AM-001_1300060</v>
          </cell>
          <cell r="E232" t="str">
            <v>AMATURÁ</v>
          </cell>
          <cell r="F232" t="str">
            <v>AM</v>
          </cell>
        </row>
        <row r="233">
          <cell r="B233" t="str">
            <v>SSQP</v>
          </cell>
          <cell r="C233" t="str">
            <v>MONTE SANTO</v>
          </cell>
          <cell r="D233" t="str">
            <v>BA0061_2921500</v>
          </cell>
          <cell r="E233" t="str">
            <v>MONTE SANTO</v>
          </cell>
          <cell r="F233" t="str">
            <v>BA</v>
          </cell>
        </row>
        <row r="234">
          <cell r="B234" t="str">
            <v>N348</v>
          </cell>
          <cell r="C234" t="str">
            <v>AEROPORTO PRÉ-PLANEJADO EM SEDE DE UTP</v>
          </cell>
          <cell r="D234" t="str">
            <v>ES-002_3204252</v>
          </cell>
          <cell r="E234" t="str">
            <v>PONTO BELO</v>
          </cell>
          <cell r="F234" t="str">
            <v>ES</v>
          </cell>
        </row>
        <row r="235">
          <cell r="B235" t="str">
            <v>N171</v>
          </cell>
          <cell r="C235" t="str">
            <v>AEROPORTO PRÉ-PLANEJADO EM SEDE DE UTP</v>
          </cell>
          <cell r="D235" t="str">
            <v>MA-010_2103703</v>
          </cell>
          <cell r="E235" t="str">
            <v>CURURUPU</v>
          </cell>
          <cell r="F235" t="str">
            <v>MA</v>
          </cell>
        </row>
        <row r="236">
          <cell r="B236" t="str">
            <v>N691</v>
          </cell>
          <cell r="C236" t="str">
            <v>AEROPORTO PRÉ-PLANEJADO EM SEDE DE UTP</v>
          </cell>
          <cell r="D236" t="str">
            <v>TO-007_1711902</v>
          </cell>
          <cell r="E236" t="str">
            <v>LAGOA DA CONFUSÃO</v>
          </cell>
          <cell r="F236" t="str">
            <v>TO</v>
          </cell>
        </row>
        <row r="237">
          <cell r="B237" t="str">
            <v>SWIQ</v>
          </cell>
          <cell r="C237" t="str">
            <v>AEROPORTO MUNICIPAL JOSÉ CAIRES DE OLIVEIRA</v>
          </cell>
          <cell r="D237" t="str">
            <v>GO0019_5213087</v>
          </cell>
          <cell r="E237" t="str">
            <v>MINAÇU</v>
          </cell>
          <cell r="F237" t="str">
            <v>GO</v>
          </cell>
        </row>
        <row r="238">
          <cell r="B238" t="str">
            <v>SNGD</v>
          </cell>
          <cell r="C238" t="str">
            <v>GUADALUPE</v>
          </cell>
          <cell r="D238" t="str">
            <v>PI0005_2204501</v>
          </cell>
          <cell r="E238" t="str">
            <v>GUADALUPE</v>
          </cell>
          <cell r="F238" t="str">
            <v>PI</v>
          </cell>
        </row>
        <row r="239">
          <cell r="B239" t="str">
            <v>SWTY</v>
          </cell>
          <cell r="C239" t="str">
            <v>TAGUATINGA</v>
          </cell>
          <cell r="D239" t="str">
            <v>TO0009_1720903</v>
          </cell>
          <cell r="E239" t="str">
            <v>TAGUATINGA</v>
          </cell>
          <cell r="F239" t="str">
            <v>TO</v>
          </cell>
        </row>
        <row r="240">
          <cell r="B240" t="str">
            <v>SBCC</v>
          </cell>
          <cell r="C240" t="str">
            <v>CAMPO DE PROVAS BRIGADEIRO VELOSO (CPBV)</v>
          </cell>
          <cell r="D240" t="str">
            <v>PA9001_5104104</v>
          </cell>
          <cell r="E240" t="str">
            <v>Guarantã do Norte</v>
          </cell>
          <cell r="F240" t="str">
            <v>MT</v>
          </cell>
        </row>
        <row r="241">
          <cell r="B241" t="str">
            <v>N023</v>
          </cell>
          <cell r="C241" t="str">
            <v>AEROPORTO PRÉ-PLANEJADO FORA DE SEDE DE UTP</v>
          </cell>
          <cell r="D241" t="str">
            <v>TO-012_1718865</v>
          </cell>
          <cell r="E241" t="str">
            <v>SANTA FÉ DO ARAGUAIA</v>
          </cell>
          <cell r="F241" t="str">
            <v>TO</v>
          </cell>
        </row>
        <row r="242">
          <cell r="B242" t="str">
            <v>SDH4</v>
          </cell>
          <cell r="C242" t="str">
            <v>AEROCLUBE DE ITAPEVA</v>
          </cell>
          <cell r="D242" t="str">
            <v>SP0062_3522406</v>
          </cell>
          <cell r="E242" t="str">
            <v>ITAPEVA</v>
          </cell>
          <cell r="F242" t="str">
            <v>SP</v>
          </cell>
        </row>
        <row r="243">
          <cell r="B243" t="str">
            <v>SD7H</v>
          </cell>
          <cell r="C243" t="str">
            <v>XAPURÍ</v>
          </cell>
          <cell r="D243" t="str">
            <v>AC0005_1200708</v>
          </cell>
          <cell r="E243" t="str">
            <v>XAPURI</v>
          </cell>
          <cell r="F243" t="str">
            <v>AC</v>
          </cell>
        </row>
        <row r="244">
          <cell r="B244" t="str">
            <v>SNIE</v>
          </cell>
          <cell r="C244" t="str">
            <v>CAETITÉ</v>
          </cell>
          <cell r="D244" t="str">
            <v>BA0020_2905206</v>
          </cell>
          <cell r="E244" t="str">
            <v>CAETITÉ</v>
          </cell>
          <cell r="F244" t="str">
            <v>BA</v>
          </cell>
        </row>
        <row r="245">
          <cell r="B245" t="str">
            <v>N502</v>
          </cell>
          <cell r="C245" t="str">
            <v>AEROPORTO PRÉ-PLANEJADO EM SEDE DE UTP</v>
          </cell>
          <cell r="D245" t="str">
            <v>PA-003_1500701</v>
          </cell>
          <cell r="E245" t="str">
            <v>ANAJÁS</v>
          </cell>
          <cell r="F245" t="str">
            <v>PA</v>
          </cell>
        </row>
        <row r="246">
          <cell r="B246" t="str">
            <v>N320</v>
          </cell>
          <cell r="C246" t="str">
            <v>AEROPORTO PRÉ-PLANEJADO EM SEDE DE UTP</v>
          </cell>
          <cell r="D246" t="str">
            <v>BA-009_2907103</v>
          </cell>
          <cell r="E246" t="str">
            <v>CARINHANHA</v>
          </cell>
          <cell r="F246" t="str">
            <v>BA</v>
          </cell>
        </row>
        <row r="247">
          <cell r="B247" t="str">
            <v>N294</v>
          </cell>
          <cell r="C247" t="str">
            <v>AEROPORTO PRÉ-PLANEJADO EM SEDE DE UTP</v>
          </cell>
          <cell r="D247" t="str">
            <v>AM-007_1303007</v>
          </cell>
          <cell r="E247" t="str">
            <v>NHAMUNDÁ</v>
          </cell>
          <cell r="F247" t="str">
            <v>AM</v>
          </cell>
        </row>
        <row r="248">
          <cell r="B248" t="str">
            <v>N504</v>
          </cell>
          <cell r="C248" t="str">
            <v>AEROPORTO PRÉ-PLANEJADO EM SEDE DE UTP</v>
          </cell>
          <cell r="D248" t="str">
            <v>AM-002_1300102</v>
          </cell>
          <cell r="E248" t="str">
            <v>ANORI</v>
          </cell>
          <cell r="F248" t="str">
            <v>AM</v>
          </cell>
        </row>
        <row r="249">
          <cell r="B249" t="str">
            <v>N898</v>
          </cell>
          <cell r="C249" t="str">
            <v>AEROPORTO PRÉ-PLANEJADO EM SEDE DE UTP</v>
          </cell>
          <cell r="D249" t="str">
            <v>MA-022_2114007</v>
          </cell>
          <cell r="E249" t="str">
            <v>ZÉ DOCA</v>
          </cell>
          <cell r="F249" t="str">
            <v>MA</v>
          </cell>
        </row>
        <row r="250">
          <cell r="B250" t="str">
            <v>N314</v>
          </cell>
          <cell r="C250" t="str">
            <v>AEROPORTO PRÉ-PLANEJADO EM SEDE DE UTP</v>
          </cell>
          <cell r="D250" t="str">
            <v>BA-006_2905008</v>
          </cell>
          <cell r="E250" t="str">
            <v>CACULÉ</v>
          </cell>
          <cell r="F250" t="str">
            <v>BA</v>
          </cell>
        </row>
        <row r="251">
          <cell r="B251" t="str">
            <v>N926</v>
          </cell>
          <cell r="C251" t="str">
            <v>AEROPORTO PRÉ-PLANEJADO EM SEDE DE UTP</v>
          </cell>
          <cell r="D251" t="str">
            <v>GO-012_5213509</v>
          </cell>
          <cell r="E251" t="str">
            <v>MONTE ALEGRE DE GOIÁS</v>
          </cell>
          <cell r="F251" t="str">
            <v>GO</v>
          </cell>
        </row>
        <row r="252">
          <cell r="B252" t="str">
            <v>SIBU</v>
          </cell>
          <cell r="C252" t="str">
            <v>JERÔNIMO SÉRGIO ROSADO MAIA</v>
          </cell>
          <cell r="D252" t="str">
            <v>PB0012_2504306</v>
          </cell>
          <cell r="E252" t="str">
            <v>CATOLÉ DO ROCHA</v>
          </cell>
          <cell r="F252" t="str">
            <v>PB</v>
          </cell>
        </row>
        <row r="253">
          <cell r="B253" t="str">
            <v>N659</v>
          </cell>
          <cell r="C253" t="str">
            <v>AEROPORTO PRÉ-PLANEJADO EM SEDE DE UTP</v>
          </cell>
          <cell r="D253" t="str">
            <v>GO-010_5210208</v>
          </cell>
          <cell r="E253" t="str">
            <v>IPORÁ</v>
          </cell>
          <cell r="F253" t="str">
            <v>GO</v>
          </cell>
        </row>
        <row r="254">
          <cell r="B254" t="str">
            <v>N754</v>
          </cell>
          <cell r="C254" t="str">
            <v>AEROPORTO PRÉ-PLANEJADO EM SEDE DE UTP</v>
          </cell>
          <cell r="D254" t="str">
            <v>TO-011_1716208</v>
          </cell>
          <cell r="E254" t="str">
            <v>PARANÃ</v>
          </cell>
          <cell r="F254" t="str">
            <v>TO</v>
          </cell>
        </row>
        <row r="255">
          <cell r="B255" t="str">
            <v>N191</v>
          </cell>
          <cell r="C255" t="str">
            <v>AEROPORTO PRÉ-PLANEJADO EM SEDE DE UTP</v>
          </cell>
          <cell r="D255" t="str">
            <v>RS-009_4308656</v>
          </cell>
          <cell r="E255" t="str">
            <v>GARRUCHOS</v>
          </cell>
          <cell r="F255" t="str">
            <v>RS</v>
          </cell>
        </row>
        <row r="256">
          <cell r="B256" t="str">
            <v>N400</v>
          </cell>
          <cell r="C256" t="str">
            <v>AEROPORTO PRÉ-PLANEJADO EM SEDE DE UTP</v>
          </cell>
          <cell r="D256" t="str">
            <v>BA-032_2932002</v>
          </cell>
          <cell r="E256" t="str">
            <v>UAUÁ</v>
          </cell>
          <cell r="F256" t="str">
            <v>BA</v>
          </cell>
        </row>
        <row r="257">
          <cell r="B257" t="str">
            <v>SIZX</v>
          </cell>
          <cell r="C257" t="str">
            <v>JUARA SUL</v>
          </cell>
          <cell r="D257" t="str">
            <v>MT0018_5105101</v>
          </cell>
          <cell r="E257" t="str">
            <v>JUARA</v>
          </cell>
          <cell r="F257" t="str">
            <v>MT</v>
          </cell>
        </row>
        <row r="258">
          <cell r="B258" t="str">
            <v>SWPL</v>
          </cell>
          <cell r="C258" t="str">
            <v>LEONARDO VILLAS BOAS</v>
          </cell>
          <cell r="D258" t="str">
            <v>MT0027_5103858</v>
          </cell>
          <cell r="E258" t="str">
            <v>GAÚCHA DO NORTE</v>
          </cell>
          <cell r="F258" t="str">
            <v>MT</v>
          </cell>
        </row>
        <row r="259">
          <cell r="B259" t="str">
            <v>N006</v>
          </cell>
          <cell r="C259" t="str">
            <v>AEROPORTO PRÉ-PLANEJADO EM SEDE DE UTP</v>
          </cell>
          <cell r="D259" t="str">
            <v>PR-001_4100202</v>
          </cell>
          <cell r="E259" t="str">
            <v>ADRIANÓPOLIS</v>
          </cell>
          <cell r="F259" t="str">
            <v>PR</v>
          </cell>
        </row>
        <row r="260">
          <cell r="B260" t="str">
            <v>N166</v>
          </cell>
          <cell r="C260" t="str">
            <v>AEROPORTO PRÉ-PLANEJADO FORA DE SEDE DE UTP</v>
          </cell>
          <cell r="D260" t="str">
            <v>MA-002_2101806</v>
          </cell>
          <cell r="E260" t="str">
            <v>BENEDITO LEITE</v>
          </cell>
          <cell r="F260" t="str">
            <v>MA</v>
          </cell>
        </row>
        <row r="261">
          <cell r="B261" t="str">
            <v>N183</v>
          </cell>
          <cell r="C261" t="str">
            <v>AEROPORTO PRÉ-PLANEJADO EM SEDE DE UTP</v>
          </cell>
          <cell r="D261" t="str">
            <v>RS-002_4301875</v>
          </cell>
          <cell r="E261" t="str">
            <v>BARRA DO QUARAÍ</v>
          </cell>
          <cell r="F261" t="str">
            <v>RS</v>
          </cell>
        </row>
        <row r="262">
          <cell r="B262" t="str">
            <v>N889</v>
          </cell>
          <cell r="C262" t="str">
            <v>AEROPORTO PRÉ-PLANEJADO EM SEDE DE UTP</v>
          </cell>
          <cell r="D262" t="str">
            <v>MT-008_5107776</v>
          </cell>
          <cell r="E262" t="str">
            <v>SANTA TEREZINHA</v>
          </cell>
          <cell r="F262" t="str">
            <v>MT</v>
          </cell>
        </row>
        <row r="263">
          <cell r="B263" t="str">
            <v>SNVC</v>
          </cell>
          <cell r="C263" t="str">
            <v>VIÇOSA</v>
          </cell>
          <cell r="D263" t="str">
            <v>MG0074_3171303</v>
          </cell>
          <cell r="E263" t="str">
            <v>VIÇOSA</v>
          </cell>
          <cell r="F263" t="str">
            <v>MG</v>
          </cell>
        </row>
        <row r="264">
          <cell r="B264" t="str">
            <v>SWHP</v>
          </cell>
          <cell r="C264" t="str">
            <v>FREDERICO CARLOS MÜLLER</v>
          </cell>
          <cell r="D264" t="str">
            <v>MT0006_5100201</v>
          </cell>
          <cell r="E264" t="str">
            <v>ÁGUA BOA</v>
          </cell>
          <cell r="F264" t="str">
            <v>MT</v>
          </cell>
        </row>
        <row r="265">
          <cell r="B265" t="str">
            <v>N872</v>
          </cell>
          <cell r="C265" t="str">
            <v>AEROPORTO PRÉ-PLANEJADO EM SEDE DE UTP</v>
          </cell>
          <cell r="D265" t="str">
            <v>MT-005_5105309</v>
          </cell>
          <cell r="E265" t="str">
            <v>LUCIARA</v>
          </cell>
          <cell r="F265" t="str">
            <v>MT</v>
          </cell>
        </row>
        <row r="266">
          <cell r="B266" t="str">
            <v>SNSE</v>
          </cell>
          <cell r="C266" t="str">
            <v>SENTO SÉ</v>
          </cell>
          <cell r="D266" t="str">
            <v>BA0056_2930204</v>
          </cell>
          <cell r="E266" t="str">
            <v>SENTO SÉ</v>
          </cell>
          <cell r="F266" t="str">
            <v>BA</v>
          </cell>
        </row>
        <row r="267">
          <cell r="B267" t="str">
            <v>SNYU</v>
          </cell>
          <cell r="C267" t="str">
            <v>ITURAMA</v>
          </cell>
          <cell r="D267" t="str">
            <v>MG0014_3134400</v>
          </cell>
          <cell r="E267" t="str">
            <v>ITURAMA</v>
          </cell>
          <cell r="F267" t="str">
            <v>MG</v>
          </cell>
        </row>
        <row r="268">
          <cell r="B268" t="str">
            <v>SDWQ</v>
          </cell>
          <cell r="C268" t="str">
            <v>ALENQUER</v>
          </cell>
          <cell r="D268" t="str">
            <v>PA0027_1500404</v>
          </cell>
          <cell r="E268" t="str">
            <v>ALENQUER</v>
          </cell>
          <cell r="F268" t="str">
            <v>PA</v>
          </cell>
        </row>
        <row r="269">
          <cell r="B269" t="str">
            <v>SJHG</v>
          </cell>
          <cell r="C269" t="str">
            <v>CONFRESA</v>
          </cell>
          <cell r="D269" t="str">
            <v>MT0176_5103353</v>
          </cell>
          <cell r="E269" t="str">
            <v>CONFRESA</v>
          </cell>
          <cell r="F269" t="str">
            <v>MT</v>
          </cell>
        </row>
        <row r="270">
          <cell r="B270" t="str">
            <v>SWVC</v>
          </cell>
          <cell r="C270" t="str">
            <v>VILA RICA</v>
          </cell>
          <cell r="D270" t="str">
            <v>MT0016_5108600</v>
          </cell>
          <cell r="E270" t="str">
            <v>VILA RICA</v>
          </cell>
          <cell r="F270" t="str">
            <v>MT</v>
          </cell>
        </row>
        <row r="271">
          <cell r="B271" t="str">
            <v>N823</v>
          </cell>
          <cell r="C271" t="str">
            <v>AEROPORTO PRÉ-PLANEJADO EM SEDE DE UTP</v>
          </cell>
          <cell r="D271" t="str">
            <v>GO-017_5219803</v>
          </cell>
          <cell r="E271" t="str">
            <v>SÃO DOMINGOS</v>
          </cell>
          <cell r="F271" t="str">
            <v>GO</v>
          </cell>
        </row>
        <row r="272">
          <cell r="B272" t="str">
            <v>N061</v>
          </cell>
          <cell r="C272" t="str">
            <v>AEROPORTO PRÉ-PLANEJADO EM SEDE DE UTP</v>
          </cell>
          <cell r="D272" t="str">
            <v>AM-009_1303502</v>
          </cell>
          <cell r="E272" t="str">
            <v>PAUINI</v>
          </cell>
          <cell r="F272" t="str">
            <v>AM</v>
          </cell>
        </row>
        <row r="273">
          <cell r="B273" t="str">
            <v>N185</v>
          </cell>
          <cell r="C273" t="str">
            <v>AEROPORTO PRÉ-PLANEJADO EM SEDE DE UTP</v>
          </cell>
          <cell r="D273" t="str">
            <v>MS-006_5003157</v>
          </cell>
          <cell r="E273" t="str">
            <v>CORONEL SAPUCAIA</v>
          </cell>
          <cell r="F273" t="str">
            <v>MS</v>
          </cell>
        </row>
        <row r="274">
          <cell r="B274" t="str">
            <v>SNYB</v>
          </cell>
          <cell r="C274" t="str">
            <v>TITO TEIXEIRA</v>
          </cell>
          <cell r="D274" t="str">
            <v>MG0047_3134202</v>
          </cell>
          <cell r="E274" t="str">
            <v>ITUIUTABA</v>
          </cell>
          <cell r="F274" t="str">
            <v>MG</v>
          </cell>
        </row>
        <row r="275">
          <cell r="B275" t="str">
            <v>N776</v>
          </cell>
          <cell r="C275" t="str">
            <v>AEROPORTO PRÉ-PLANEJADO EM SEDE DE UTP</v>
          </cell>
          <cell r="D275" t="str">
            <v>RS-014_4311007</v>
          </cell>
          <cell r="E275" t="str">
            <v>JAGUARÃO</v>
          </cell>
          <cell r="F275" t="str">
            <v>RS</v>
          </cell>
        </row>
        <row r="276">
          <cell r="B276" t="str">
            <v>SWDN</v>
          </cell>
          <cell r="C276" t="str">
            <v>DIANÓPOLIS</v>
          </cell>
          <cell r="D276" t="str">
            <v>TO0006_1707009</v>
          </cell>
          <cell r="E276" t="str">
            <v>DIANÓPOLIS</v>
          </cell>
          <cell r="F276" t="str">
            <v>TO</v>
          </cell>
        </row>
        <row r="277">
          <cell r="B277" t="str">
            <v>N858</v>
          </cell>
          <cell r="C277" t="str">
            <v>AEROPORTO PRÉ-PLANEJADO FORA DE SEDE DE UTP</v>
          </cell>
          <cell r="D277" t="str">
            <v>MT-001_5101001</v>
          </cell>
          <cell r="E277" t="str">
            <v>ARAGUAIANA</v>
          </cell>
          <cell r="F277" t="str">
            <v>MT</v>
          </cell>
        </row>
        <row r="278">
          <cell r="B278" t="str">
            <v>SSCP</v>
          </cell>
          <cell r="C278" t="str">
            <v>FRANCISCO LACERDA JÚNIOR</v>
          </cell>
          <cell r="D278" t="str">
            <v>PR0015_4106407</v>
          </cell>
          <cell r="E278" t="str">
            <v>CORNÉLIO PROCÓPIO</v>
          </cell>
          <cell r="F278" t="str">
            <v>PR</v>
          </cell>
        </row>
        <row r="279">
          <cell r="B279" t="str">
            <v>N488</v>
          </cell>
          <cell r="C279" t="str">
            <v>AEROPORTO PRÉ-PLANEJADO EM SEDE DE UTP</v>
          </cell>
          <cell r="D279" t="str">
            <v>MG-001_3100609</v>
          </cell>
          <cell r="E279" t="str">
            <v>ÁGUA BOA</v>
          </cell>
          <cell r="F279" t="str">
            <v>MG</v>
          </cell>
        </row>
        <row r="280">
          <cell r="B280" t="str">
            <v>SBBQ</v>
          </cell>
          <cell r="C280" t="str">
            <v>MAJOR BRIGADEIRO DOORGAL BORGES</v>
          </cell>
          <cell r="D280" t="str">
            <v>MG9002_3105608</v>
          </cell>
          <cell r="E280" t="str">
            <v>BARBACENA</v>
          </cell>
          <cell r="F280" t="str">
            <v>MG</v>
          </cell>
        </row>
        <row r="281">
          <cell r="B281" t="str">
            <v>N401</v>
          </cell>
          <cell r="C281" t="str">
            <v>AEROPORTO PRÉ-PLANEJADO EM SEDE DE UTP</v>
          </cell>
          <cell r="D281" t="str">
            <v>RJ-018_3304706</v>
          </cell>
          <cell r="E281" t="str">
            <v>SANTO ANTÔNIO DE PÁDUA</v>
          </cell>
          <cell r="F281" t="str">
            <v>RJ</v>
          </cell>
        </row>
        <row r="282">
          <cell r="B282" t="str">
            <v>N199</v>
          </cell>
          <cell r="C282" t="str">
            <v>AEROPORTO PRÉ-PLANEJADO EM SEDE DE UTP</v>
          </cell>
          <cell r="D282" t="str">
            <v>MS-008_5006358</v>
          </cell>
          <cell r="E282" t="str">
            <v>PARANHOS</v>
          </cell>
          <cell r="F282" t="str">
            <v>MS</v>
          </cell>
        </row>
        <row r="283">
          <cell r="B283" t="str">
            <v>N178</v>
          </cell>
          <cell r="C283" t="str">
            <v>AEROPORTO PRÉ-PLANEJADO EM SEDE DE UTP</v>
          </cell>
          <cell r="D283" t="str">
            <v>GO-009_5209952</v>
          </cell>
          <cell r="E283" t="str">
            <v>INDIARA</v>
          </cell>
          <cell r="F283" t="str">
            <v>GO</v>
          </cell>
        </row>
        <row r="284">
          <cell r="B284" t="str">
            <v>N489</v>
          </cell>
          <cell r="C284" t="str">
            <v>AEROPORTO PRÉ-PLANEJADO EM SEDE DE UTP</v>
          </cell>
          <cell r="D284" t="str">
            <v>MG-002_3100906</v>
          </cell>
          <cell r="E284" t="str">
            <v>ÁGUAS FORMOSAS</v>
          </cell>
          <cell r="F284" t="str">
            <v>MG</v>
          </cell>
        </row>
        <row r="285">
          <cell r="B285" t="str">
            <v>N390</v>
          </cell>
          <cell r="C285" t="str">
            <v>AEROPORTO PRÉ-PLANEJADO FORA DE SEDE DE UTP</v>
          </cell>
          <cell r="D285" t="str">
            <v>MA-013_2104677</v>
          </cell>
          <cell r="E285" t="str">
            <v>GOVERNADOR NUNES FREIRE</v>
          </cell>
          <cell r="F285" t="str">
            <v>MA</v>
          </cell>
        </row>
        <row r="286">
          <cell r="B286" t="str">
            <v>N756</v>
          </cell>
          <cell r="C286" t="str">
            <v>AEROPORTO PRÉ-PLANEJADO EM SEDE DE UTP</v>
          </cell>
          <cell r="D286" t="str">
            <v>MT-007_5106307</v>
          </cell>
          <cell r="E286" t="str">
            <v>PARANATINGA</v>
          </cell>
          <cell r="F286" t="str">
            <v>MT</v>
          </cell>
        </row>
        <row r="287">
          <cell r="B287" t="str">
            <v>SSCQ</v>
          </cell>
          <cell r="C287" t="str">
            <v>SAICÃ</v>
          </cell>
          <cell r="D287" t="str">
            <v>RS9001_4302907</v>
          </cell>
          <cell r="E287" t="str">
            <v>Cacequi</v>
          </cell>
          <cell r="F287" t="str">
            <v>RS</v>
          </cell>
        </row>
        <row r="288">
          <cell r="B288" t="str">
            <v>N936</v>
          </cell>
          <cell r="C288" t="str">
            <v>AEROPORTO PRÉ-PLANEJADO EM SEDE DE UTP</v>
          </cell>
          <cell r="D288" t="str">
            <v>GO-015_5219308</v>
          </cell>
          <cell r="E288" t="str">
            <v>SANTA HELENA DE GOIÁS</v>
          </cell>
          <cell r="F288" t="str">
            <v>GO</v>
          </cell>
        </row>
        <row r="289">
          <cell r="B289" t="str">
            <v>SWUD</v>
          </cell>
          <cell r="C289" t="str">
            <v>DEPUTADO OSWALDO TOLENTINO</v>
          </cell>
          <cell r="D289" t="str">
            <v>MG0069_3116605</v>
          </cell>
          <cell r="E289" t="str">
            <v>CLÁUDIO</v>
          </cell>
          <cell r="F289" t="str">
            <v>MG</v>
          </cell>
        </row>
        <row r="290">
          <cell r="B290" t="str">
            <v>N449</v>
          </cell>
          <cell r="C290" t="str">
            <v>AEROPORTO PRÉ-PLANEJADO EM SEDE DE UTP</v>
          </cell>
          <cell r="D290" t="str">
            <v>GO-002_5203104</v>
          </cell>
          <cell r="E290" t="str">
            <v>BALIZA</v>
          </cell>
          <cell r="F290" t="str">
            <v>GO</v>
          </cell>
        </row>
        <row r="291">
          <cell r="B291" t="str">
            <v>SNMN</v>
          </cell>
          <cell r="C291" t="str">
            <v>MINAS NOVAS</v>
          </cell>
          <cell r="D291" t="str">
            <v>MG0075_3141801</v>
          </cell>
          <cell r="E291" t="str">
            <v>MINAS NOVAS</v>
          </cell>
          <cell r="F291" t="str">
            <v>MG</v>
          </cell>
        </row>
        <row r="292">
          <cell r="B292" t="str">
            <v>SWNA</v>
          </cell>
          <cell r="C292" t="str">
            <v>NOVO ARIPUANÃ</v>
          </cell>
          <cell r="D292" t="str">
            <v>AM0050_1303304</v>
          </cell>
          <cell r="E292" t="str">
            <v>NOVO ARIPUANÃ</v>
          </cell>
          <cell r="F292" t="str">
            <v>AM</v>
          </cell>
        </row>
        <row r="293">
          <cell r="B293" t="str">
            <v>N202</v>
          </cell>
          <cell r="C293" t="str">
            <v>AEROPORTO PRÉ-PLANEJADO EM SEDE DE UTP</v>
          </cell>
          <cell r="D293" t="str">
            <v>RS-019_4315073</v>
          </cell>
          <cell r="E293" t="str">
            <v>PORTO VERA CRUZ</v>
          </cell>
          <cell r="F293" t="str">
            <v>RS</v>
          </cell>
        </row>
        <row r="294">
          <cell r="B294" t="str">
            <v>N180</v>
          </cell>
          <cell r="C294" t="str">
            <v>AEROPORTO PRÉ-PLANEJADO EM SEDE DE UTP</v>
          </cell>
          <cell r="D294" t="str">
            <v>RS-021_4315305</v>
          </cell>
          <cell r="E294" t="str">
            <v>QUARAÍ</v>
          </cell>
          <cell r="F294" t="str">
            <v>RS</v>
          </cell>
        </row>
        <row r="295">
          <cell r="B295" t="str">
            <v>N397</v>
          </cell>
          <cell r="C295" t="str">
            <v>AEROPORTO PRÉ-PLANEJADO EM SEDE DE UTP</v>
          </cell>
          <cell r="D295" t="str">
            <v>BA-030_2931053</v>
          </cell>
          <cell r="E295" t="str">
            <v>TANQUE NOVO</v>
          </cell>
          <cell r="F295" t="str">
            <v>BA</v>
          </cell>
        </row>
        <row r="296">
          <cell r="B296" t="str">
            <v>N753</v>
          </cell>
          <cell r="C296" t="str">
            <v>AEROPORTO PRÉ-PLANEJADO EM SEDE DE UTP</v>
          </cell>
          <cell r="D296" t="str">
            <v>RS-004_4304002</v>
          </cell>
          <cell r="E296" t="str">
            <v>CAMPO NOVO</v>
          </cell>
          <cell r="F296" t="str">
            <v>RS</v>
          </cell>
        </row>
        <row r="297">
          <cell r="B297" t="str">
            <v>N201</v>
          </cell>
          <cell r="C297" t="str">
            <v>AEROPORTO PRÉ-PLANEJADO EM SEDE DE UTP</v>
          </cell>
          <cell r="D297" t="str">
            <v>RS-018_4315057</v>
          </cell>
          <cell r="E297" t="str">
            <v>PORTO MAUÁ</v>
          </cell>
          <cell r="F297" t="str">
            <v>RS</v>
          </cell>
        </row>
        <row r="298">
          <cell r="B298" t="str">
            <v>N541</v>
          </cell>
          <cell r="C298" t="str">
            <v>AEROPORTO PRÉ-PLANEJADO FORA DE SEDE DE UTP</v>
          </cell>
          <cell r="D298" t="str">
            <v>MG-041_3170800</v>
          </cell>
          <cell r="E298" t="str">
            <v>VÁRZEA DA PALMA</v>
          </cell>
          <cell r="F298" t="str">
            <v>MG</v>
          </cell>
        </row>
        <row r="299">
          <cell r="B299" t="str">
            <v>N425</v>
          </cell>
          <cell r="C299" t="str">
            <v>AEROPORTO PRÉ-PLANEJADO EM SEDE DE UTP</v>
          </cell>
          <cell r="D299" t="str">
            <v>MG-009_3111101</v>
          </cell>
          <cell r="E299" t="str">
            <v>CAMPINA VERDE</v>
          </cell>
          <cell r="F299" t="str">
            <v>MG</v>
          </cell>
        </row>
        <row r="300">
          <cell r="B300" t="str">
            <v>SSCD</v>
          </cell>
          <cell r="C300" t="str">
            <v>CHAPADÃO DO SUL</v>
          </cell>
          <cell r="D300" t="str">
            <v>MS0007_5002951</v>
          </cell>
          <cell r="E300" t="str">
            <v>CHAPADÃO DO SUL</v>
          </cell>
          <cell r="F300" t="str">
            <v>MS</v>
          </cell>
        </row>
        <row r="301">
          <cell r="B301" t="str">
            <v>N479</v>
          </cell>
          <cell r="C301" t="str">
            <v>AEROPORTO PRÉ-PLANEJADO EM SEDE DE UTP</v>
          </cell>
          <cell r="D301" t="str">
            <v>MG-022_3143500</v>
          </cell>
          <cell r="E301" t="str">
            <v>MORADA NOVA DE MINAS</v>
          </cell>
          <cell r="F301" t="str">
            <v>MG</v>
          </cell>
        </row>
        <row r="302">
          <cell r="B302" t="str">
            <v>N148</v>
          </cell>
          <cell r="C302" t="str">
            <v>AEROPORTO PRÉ-PLANEJADO EM SEDE DE UTP</v>
          </cell>
          <cell r="D302" t="str">
            <v>PB-003_2505808</v>
          </cell>
          <cell r="E302" t="str">
            <v>DUAS ESTRADAS</v>
          </cell>
          <cell r="F302" t="str">
            <v>PB</v>
          </cell>
        </row>
        <row r="303">
          <cell r="B303" t="str">
            <v>SWJP</v>
          </cell>
          <cell r="C303" t="str">
            <v>VILA BITTENCOURT</v>
          </cell>
          <cell r="D303" t="str">
            <v>AM0046_1302108</v>
          </cell>
          <cell r="E303" t="str">
            <v>JAPURÁ</v>
          </cell>
          <cell r="F303" t="str">
            <v>AM</v>
          </cell>
        </row>
        <row r="304">
          <cell r="B304" t="str">
            <v>N273</v>
          </cell>
          <cell r="C304" t="str">
            <v>AEROPORTO PRÉ-PLANEJADO FORA DE SEDE DE UTP</v>
          </cell>
          <cell r="D304" t="str">
            <v>PE-004_2601706</v>
          </cell>
          <cell r="E304" t="str">
            <v>BELO JARDIM</v>
          </cell>
          <cell r="F304" t="str">
            <v>PE</v>
          </cell>
        </row>
        <row r="305">
          <cell r="B305" t="str">
            <v>N528</v>
          </cell>
          <cell r="C305" t="str">
            <v>AEROPORTO PRÉ-PLANEJADO EM SEDE DE UTP</v>
          </cell>
          <cell r="D305" t="str">
            <v>MS-004_5001904</v>
          </cell>
          <cell r="E305" t="str">
            <v>BATAGUASSU</v>
          </cell>
          <cell r="F305" t="str">
            <v>MS</v>
          </cell>
        </row>
        <row r="306">
          <cell r="B306" t="str">
            <v>SSQZ</v>
          </cell>
          <cell r="C306" t="str">
            <v>MIMOSO DO OESTE</v>
          </cell>
          <cell r="D306" t="str">
            <v>BA0033_2919553</v>
          </cell>
          <cell r="E306" t="str">
            <v>LUÍS EDUARDO MAGALHÃES</v>
          </cell>
          <cell r="F306" t="str">
            <v>BA</v>
          </cell>
        </row>
        <row r="307">
          <cell r="B307" t="str">
            <v>SSFL</v>
          </cell>
          <cell r="C307" t="str">
            <v>JOÃO PEREIRA DOS SANTOS FILHO</v>
          </cell>
          <cell r="D307" t="str">
            <v>PI0006_2204303</v>
          </cell>
          <cell r="E307" t="str">
            <v>FRONTEIRAS</v>
          </cell>
          <cell r="F307" t="str">
            <v>PI</v>
          </cell>
        </row>
        <row r="308">
          <cell r="B308" t="str">
            <v>N866</v>
          </cell>
          <cell r="C308" t="str">
            <v>AEROPORTO PRÉ-PLANEJADO EM SEDE DE UTP</v>
          </cell>
          <cell r="D308" t="str">
            <v>PA-022_1508001</v>
          </cell>
          <cell r="E308" t="str">
            <v>TOMÉ-AÇU</v>
          </cell>
          <cell r="F308" t="str">
            <v>PA</v>
          </cell>
        </row>
        <row r="309">
          <cell r="B309" t="str">
            <v>SNJP</v>
          </cell>
          <cell r="C309" t="str">
            <v>JOÃO PINHEIRO</v>
          </cell>
          <cell r="D309" t="str">
            <v>MG0036_3136306</v>
          </cell>
          <cell r="E309" t="str">
            <v>JOÃO PINHEIRO</v>
          </cell>
          <cell r="F309" t="str">
            <v>MG</v>
          </cell>
        </row>
        <row r="310">
          <cell r="B310" t="str">
            <v>N840</v>
          </cell>
          <cell r="C310" t="str">
            <v>AEROPORTO PRÉ-PLANEJADO EM SEDE DE UTP</v>
          </cell>
          <cell r="D310" t="str">
            <v>GO-018_5220108</v>
          </cell>
          <cell r="E310" t="str">
            <v>SÃO LUÍS DE MONTES BELOS</v>
          </cell>
          <cell r="F310" t="str">
            <v>GO</v>
          </cell>
        </row>
        <row r="311">
          <cell r="B311" t="str">
            <v>SNPY</v>
          </cell>
          <cell r="C311" t="str">
            <v>SÃO SEBASTIÃO DO PARAÍSO</v>
          </cell>
          <cell r="D311" t="str">
            <v>MG0013_3164704</v>
          </cell>
          <cell r="E311" t="str">
            <v>SÃO SEBASTIÃO DO PARAÍSO</v>
          </cell>
          <cell r="F311" t="str">
            <v>MG</v>
          </cell>
        </row>
        <row r="312">
          <cell r="B312" t="str">
            <v>SNJB</v>
          </cell>
          <cell r="C312" t="str">
            <v>JACOBINA</v>
          </cell>
          <cell r="D312" t="str">
            <v>BA0062_2917508</v>
          </cell>
          <cell r="E312" t="str">
            <v>JACOBINA</v>
          </cell>
          <cell r="F312" t="str">
            <v>BA</v>
          </cell>
        </row>
        <row r="313">
          <cell r="B313" t="str">
            <v>N678</v>
          </cell>
          <cell r="C313" t="str">
            <v>AEROPORTO PRÉ-PLANEJADO EM SEDE DE UTP</v>
          </cell>
          <cell r="D313" t="str">
            <v>PR-002_4101606</v>
          </cell>
          <cell r="E313" t="str">
            <v>ARAPOTI</v>
          </cell>
          <cell r="F313" t="str">
            <v>PR</v>
          </cell>
        </row>
        <row r="314">
          <cell r="B314" t="str">
            <v>SDKE</v>
          </cell>
          <cell r="C314" t="str">
            <v>VALENÇA DO PIAUÍ</v>
          </cell>
          <cell r="D314" t="str">
            <v>PI0073_2211308</v>
          </cell>
          <cell r="E314" t="str">
            <v>VALENÇA DO PIAUÍ</v>
          </cell>
          <cell r="F314" t="str">
            <v>PI</v>
          </cell>
        </row>
        <row r="315">
          <cell r="B315" t="str">
            <v>N533</v>
          </cell>
          <cell r="C315" t="str">
            <v>AEROPORTO PRÉ-PLANEJADO EM SEDE DE UTP</v>
          </cell>
          <cell r="D315" t="str">
            <v>MG-005_3108206</v>
          </cell>
          <cell r="E315" t="str">
            <v>BONFINÓPOLIS DE MINAS</v>
          </cell>
          <cell r="F315" t="str">
            <v>MG</v>
          </cell>
        </row>
        <row r="316">
          <cell r="B316" t="str">
            <v>N689</v>
          </cell>
          <cell r="C316" t="str">
            <v>AEROPORTO PRÉ-PLANEJADO EM SEDE DE UTP</v>
          </cell>
          <cell r="D316" t="str">
            <v>AM-005_1302306</v>
          </cell>
          <cell r="E316" t="str">
            <v>JUTAÍ</v>
          </cell>
          <cell r="F316" t="str">
            <v>AM</v>
          </cell>
        </row>
        <row r="317">
          <cell r="B317" t="str">
            <v>SDXJ</v>
          </cell>
          <cell r="C317" t="str">
            <v>COSTA RICA</v>
          </cell>
          <cell r="D317" t="str">
            <v>MS0017_5003256</v>
          </cell>
          <cell r="E317" t="str">
            <v>COSTA RICA</v>
          </cell>
          <cell r="F317" t="str">
            <v>MS</v>
          </cell>
        </row>
        <row r="318">
          <cell r="B318" t="str">
            <v>SN3U</v>
          </cell>
          <cell r="C318" t="str">
            <v>SOUTO SOARES</v>
          </cell>
          <cell r="D318" t="str">
            <v>BA0049_2930808</v>
          </cell>
          <cell r="E318" t="str">
            <v>SOUTO SOARES</v>
          </cell>
          <cell r="F318" t="str">
            <v>BA</v>
          </cell>
        </row>
        <row r="319">
          <cell r="B319" t="str">
            <v>SIBY</v>
          </cell>
          <cell r="C319" t="str">
            <v>LOURIVAL NUNES DE FARIAS</v>
          </cell>
          <cell r="D319" t="str">
            <v>PB0009_2509701</v>
          </cell>
          <cell r="E319" t="str">
            <v>MONTEIRO</v>
          </cell>
          <cell r="F319" t="str">
            <v>PB</v>
          </cell>
        </row>
        <row r="320">
          <cell r="B320" t="str">
            <v>N499</v>
          </cell>
          <cell r="C320" t="str">
            <v>AEROPORTO PRÉ-PLANEJADO EM SEDE DE UTP</v>
          </cell>
          <cell r="D320" t="str">
            <v>MS-001_5000609</v>
          </cell>
          <cell r="E320" t="str">
            <v>AMAMBAI</v>
          </cell>
          <cell r="F320" t="str">
            <v>MS</v>
          </cell>
        </row>
        <row r="321">
          <cell r="B321" t="str">
            <v>N424</v>
          </cell>
          <cell r="C321" t="str">
            <v>AEROPORTO PRÉ-PLANEJADO EM SEDE DE UTP</v>
          </cell>
          <cell r="D321" t="str">
            <v>MG-007_3109303</v>
          </cell>
          <cell r="E321" t="str">
            <v>BURITIS</v>
          </cell>
          <cell r="F321" t="str">
            <v>MG</v>
          </cell>
        </row>
        <row r="322">
          <cell r="B322" t="str">
            <v>N554</v>
          </cell>
          <cell r="C322" t="str">
            <v>AEROPORTO PRÉ-PLANEJADO EM SEDE DE UTP</v>
          </cell>
          <cell r="D322" t="str">
            <v>AP-002_1600204</v>
          </cell>
          <cell r="E322" t="str">
            <v>CALÇOENE</v>
          </cell>
          <cell r="F322" t="str">
            <v>AP</v>
          </cell>
        </row>
        <row r="323">
          <cell r="B323" t="str">
            <v>SIBZ</v>
          </cell>
          <cell r="C323" t="str">
            <v>ITAPORANGA</v>
          </cell>
          <cell r="D323" t="str">
            <v>PB0010_2507002</v>
          </cell>
          <cell r="E323" t="str">
            <v>ITAPORANGA</v>
          </cell>
          <cell r="F323" t="str">
            <v>PB</v>
          </cell>
        </row>
        <row r="324">
          <cell r="B324" t="str">
            <v>N819</v>
          </cell>
          <cell r="C324" t="str">
            <v>AEROPORTO PRÉ-PLANEJADO EM SEDE DE UTP</v>
          </cell>
          <cell r="D324" t="str">
            <v>AL-003_2708006</v>
          </cell>
          <cell r="E324" t="str">
            <v>SANTANA DO IPANEMA</v>
          </cell>
          <cell r="F324" t="str">
            <v>AL</v>
          </cell>
        </row>
        <row r="325">
          <cell r="B325" t="str">
            <v>N796</v>
          </cell>
          <cell r="C325" t="str">
            <v>AEROPORTO PRÉ-PLANEJADO EM SEDE DE UTP</v>
          </cell>
          <cell r="D325" t="str">
            <v>MG-031_3155603</v>
          </cell>
          <cell r="E325" t="str">
            <v>RIO PARDO DE MINAS</v>
          </cell>
          <cell r="F325" t="str">
            <v>MG</v>
          </cell>
        </row>
        <row r="326">
          <cell r="B326" t="str">
            <v>SNYE</v>
          </cell>
          <cell r="C326" t="str">
            <v>PINHEIRO</v>
          </cell>
          <cell r="D326" t="str">
            <v>MA0004_2108603</v>
          </cell>
          <cell r="E326" t="str">
            <v>PINHEIRO</v>
          </cell>
          <cell r="F326" t="str">
            <v>MA</v>
          </cell>
        </row>
        <row r="327">
          <cell r="B327" t="str">
            <v>N381</v>
          </cell>
          <cell r="C327" t="str">
            <v>AEROPORTO PRÉ-PLANEJADO FORA DE SEDE DE UTP</v>
          </cell>
          <cell r="D327" t="str">
            <v>BA-025_2925808</v>
          </cell>
          <cell r="E327" t="str">
            <v>QUEIMADAS</v>
          </cell>
          <cell r="F327" t="str">
            <v>BA</v>
          </cell>
        </row>
        <row r="328">
          <cell r="B328" t="str">
            <v>N403</v>
          </cell>
          <cell r="C328" t="str">
            <v>AEROPORTO PRÉ-PLANEJADO EM SEDE DE UTP</v>
          </cell>
          <cell r="D328" t="str">
            <v>RN-006_2411502</v>
          </cell>
          <cell r="E328" t="str">
            <v>SANTO ANTÔNIO</v>
          </cell>
          <cell r="F328" t="str">
            <v>RN</v>
          </cell>
        </row>
        <row r="329">
          <cell r="B329" t="str">
            <v>N781</v>
          </cell>
          <cell r="C329" t="str">
            <v>AEROPORTO PRÉ-PLANEJADO EM SEDE DE UTP</v>
          </cell>
          <cell r="D329" t="str">
            <v>MG-030_3152808</v>
          </cell>
          <cell r="E329" t="str">
            <v>PRATA</v>
          </cell>
          <cell r="F329" t="str">
            <v>MG</v>
          </cell>
        </row>
        <row r="330">
          <cell r="B330" t="str">
            <v>SJTS</v>
          </cell>
          <cell r="C330" t="str">
            <v>TERRA SANTA</v>
          </cell>
          <cell r="D330" t="str">
            <v>PA0028_1507979</v>
          </cell>
          <cell r="E330" t="str">
            <v>TERRA SANTA</v>
          </cell>
          <cell r="F330" t="str">
            <v>PA</v>
          </cell>
        </row>
        <row r="331">
          <cell r="B331" t="str">
            <v>SNKU</v>
          </cell>
          <cell r="C331" t="str">
            <v>CANUDOS</v>
          </cell>
          <cell r="D331" t="str">
            <v>BA0066_2906824</v>
          </cell>
          <cell r="E331" t="str">
            <v>CANUDOS</v>
          </cell>
          <cell r="F331" t="str">
            <v>BA</v>
          </cell>
        </row>
        <row r="332">
          <cell r="B332" t="str">
            <v>SNPW</v>
          </cell>
          <cell r="C332" t="str">
            <v>FAZENDA PALMEIRA</v>
          </cell>
          <cell r="D332" t="str">
            <v>MT0263_5100607</v>
          </cell>
          <cell r="E332" t="str">
            <v>Alto Taquari</v>
          </cell>
          <cell r="F332" t="str">
            <v>MT</v>
          </cell>
        </row>
        <row r="333">
          <cell r="B333" t="str">
            <v>N324</v>
          </cell>
          <cell r="C333" t="str">
            <v>AEROPORTO PRÉ-PLANEJADO FORA DE SEDE DE UTP</v>
          </cell>
          <cell r="D333" t="str">
            <v>SE-001_2801207</v>
          </cell>
          <cell r="E333" t="str">
            <v>CANINDÉ DE SÃO FRANCISCO</v>
          </cell>
          <cell r="F333" t="str">
            <v>SE</v>
          </cell>
        </row>
        <row r="334">
          <cell r="B334" t="str">
            <v>SSJK</v>
          </cell>
          <cell r="C334" t="str">
            <v>JÚLIO DE CASTILHOS</v>
          </cell>
          <cell r="D334" t="str">
            <v>RS0028_4311205</v>
          </cell>
          <cell r="E334" t="str">
            <v>JÚLIO DE CASTILHOS</v>
          </cell>
          <cell r="F334" t="str">
            <v>RS</v>
          </cell>
        </row>
        <row r="335">
          <cell r="B335" t="str">
            <v>SNMK</v>
          </cell>
          <cell r="C335" t="str">
            <v>MOCAMBINHO</v>
          </cell>
          <cell r="D335" t="str">
            <v>MG0017_3135050</v>
          </cell>
          <cell r="E335" t="str">
            <v>JAÍBA</v>
          </cell>
          <cell r="F335" t="str">
            <v>MG</v>
          </cell>
        </row>
        <row r="336">
          <cell r="B336" t="str">
            <v>N369</v>
          </cell>
          <cell r="C336" t="str">
            <v>AEROPORTO PRÉ-PLANEJADO EM SEDE DE UTP</v>
          </cell>
          <cell r="D336" t="str">
            <v>BA-021_2923357</v>
          </cell>
          <cell r="E336" t="str">
            <v>OUROLÂNDIA</v>
          </cell>
          <cell r="F336" t="str">
            <v>BA</v>
          </cell>
        </row>
        <row r="337">
          <cell r="B337" t="str">
            <v>SNCS</v>
          </cell>
          <cell r="C337" t="str">
            <v>CAMPOS SALES</v>
          </cell>
          <cell r="D337" t="str">
            <v>CE0009_2302701</v>
          </cell>
          <cell r="E337" t="str">
            <v>CAMPOS SALES</v>
          </cell>
          <cell r="F337" t="str">
            <v>CE</v>
          </cell>
        </row>
        <row r="338">
          <cell r="B338" t="str">
            <v>N098</v>
          </cell>
          <cell r="C338" t="str">
            <v>AEROPORTO PRÉ-PLANEJADO EM SEDE DE UTP</v>
          </cell>
          <cell r="D338" t="str">
            <v>PA-012_1502764</v>
          </cell>
          <cell r="E338" t="str">
            <v>CUMARU DO NORTE</v>
          </cell>
          <cell r="F338" t="str">
            <v>PA</v>
          </cell>
        </row>
        <row r="339">
          <cell r="B339" t="str">
            <v>SICB</v>
          </cell>
          <cell r="C339" t="str">
            <v>PEDRO SIMÕES PIMENTA</v>
          </cell>
          <cell r="D339" t="str">
            <v>PB0007_2505105</v>
          </cell>
          <cell r="E339" t="str">
            <v>CUITÉ</v>
          </cell>
          <cell r="F339" t="str">
            <v>PB</v>
          </cell>
        </row>
        <row r="340">
          <cell r="B340" t="str">
            <v>N371</v>
          </cell>
          <cell r="C340" t="str">
            <v>AEROPORTO PRÉ-PLANEJADO FORA DE SEDE DE UTP</v>
          </cell>
          <cell r="D340" t="str">
            <v>AC-003_1200500</v>
          </cell>
          <cell r="E340" t="str">
            <v>SENA MADUREIRA</v>
          </cell>
          <cell r="F340" t="str">
            <v>AC</v>
          </cell>
        </row>
        <row r="341">
          <cell r="B341" t="str">
            <v>N625</v>
          </cell>
          <cell r="C341" t="str">
            <v>AEROPORTO PRÉ-PLANEJADO EM SEDE DE UTP</v>
          </cell>
          <cell r="D341" t="str">
            <v>PI-004_2203701</v>
          </cell>
          <cell r="E341" t="str">
            <v>ESPERANTINA</v>
          </cell>
          <cell r="F341" t="str">
            <v>PI</v>
          </cell>
        </row>
        <row r="342">
          <cell r="B342" t="str">
            <v>N088</v>
          </cell>
          <cell r="C342" t="str">
            <v>AEROPORTO PRÉ-PLANEJADO EM SEDE DE UTP</v>
          </cell>
          <cell r="D342" t="str">
            <v>PB-002_2503605</v>
          </cell>
          <cell r="E342" t="str">
            <v>CAIÇARA</v>
          </cell>
          <cell r="F342" t="str">
            <v>PB</v>
          </cell>
        </row>
        <row r="343">
          <cell r="B343" t="str">
            <v>N370</v>
          </cell>
          <cell r="C343" t="str">
            <v>AEROPORTO PRÉ-PLANEJADO EM SEDE DE UTP</v>
          </cell>
          <cell r="D343" t="str">
            <v>BA-022_2923506</v>
          </cell>
          <cell r="E343" t="str">
            <v>PALMEIRAS</v>
          </cell>
          <cell r="F343" t="str">
            <v>BA</v>
          </cell>
        </row>
        <row r="344">
          <cell r="B344" t="str">
            <v>N033</v>
          </cell>
          <cell r="C344" t="str">
            <v>AEROPORTO PRÉ-PLANEJADO EM SEDE DE UTP</v>
          </cell>
          <cell r="D344" t="str">
            <v>AM-003_1300144</v>
          </cell>
          <cell r="E344" t="str">
            <v>APUÍ</v>
          </cell>
          <cell r="F344" t="str">
            <v>AM</v>
          </cell>
        </row>
        <row r="345">
          <cell r="B345" t="str">
            <v>SSIQ</v>
          </cell>
          <cell r="C345" t="str">
            <v>ITAQUI</v>
          </cell>
          <cell r="D345" t="str">
            <v>RS0045_4310603</v>
          </cell>
          <cell r="E345" t="str">
            <v>ITAQUI</v>
          </cell>
          <cell r="F345" t="str">
            <v>RS</v>
          </cell>
        </row>
        <row r="346">
          <cell r="B346" t="str">
            <v>N610</v>
          </cell>
          <cell r="C346" t="str">
            <v>AEROPORTO PRÉ-PLANEJADO EM SEDE DE UTP</v>
          </cell>
          <cell r="D346" t="str">
            <v>GO-007_5206404</v>
          </cell>
          <cell r="E346" t="str">
            <v>CRIXÁS</v>
          </cell>
          <cell r="F346" t="str">
            <v>GO</v>
          </cell>
        </row>
        <row r="347">
          <cell r="B347" t="str">
            <v>SSQC</v>
          </cell>
          <cell r="C347" t="str">
            <v>AGUINALDO PEREIRA LIMA</v>
          </cell>
          <cell r="D347" t="str">
            <v>PR0029_4126603</v>
          </cell>
          <cell r="E347" t="str">
            <v>SIQUEIRA CAMPOS</v>
          </cell>
          <cell r="F347" t="str">
            <v>PR</v>
          </cell>
        </row>
        <row r="348">
          <cell r="B348" t="str">
            <v>SDLY</v>
          </cell>
          <cell r="C348" t="str">
            <v>ARMANDO NATALI</v>
          </cell>
          <cell r="D348" t="str">
            <v>SP0071_3529302</v>
          </cell>
          <cell r="E348" t="str">
            <v>MATÃO</v>
          </cell>
          <cell r="F348" t="str">
            <v>SP</v>
          </cell>
        </row>
        <row r="349">
          <cell r="B349" t="str">
            <v>N093</v>
          </cell>
          <cell r="C349" t="str">
            <v>AEROPORTO PRÉ-PLANEJADO FORA DE SEDE DE UTP</v>
          </cell>
          <cell r="D349" t="str">
            <v>PA-006_1501451</v>
          </cell>
          <cell r="E349" t="str">
            <v>BELTERRA</v>
          </cell>
          <cell r="F349" t="str">
            <v>PA</v>
          </cell>
        </row>
        <row r="350">
          <cell r="B350" t="str">
            <v>N227</v>
          </cell>
          <cell r="C350" t="str">
            <v>AEROPORTO PRÉ-PLANEJADO EM SEDE DE UTP</v>
          </cell>
          <cell r="D350" t="str">
            <v>PB-005_2507309</v>
          </cell>
          <cell r="E350" t="str">
            <v>JACARAÚ</v>
          </cell>
          <cell r="F350" t="str">
            <v>PB</v>
          </cell>
        </row>
        <row r="351">
          <cell r="B351" t="str">
            <v>SI68</v>
          </cell>
          <cell r="C351" t="str">
            <v>GELINDO STEFANUTO</v>
          </cell>
          <cell r="D351" t="str">
            <v>MT0612_5102637</v>
          </cell>
          <cell r="E351" t="str">
            <v>CAMPO NOVO DO PARECIS</v>
          </cell>
          <cell r="F351" t="str">
            <v>MT</v>
          </cell>
        </row>
        <row r="352">
          <cell r="B352" t="str">
            <v>N175</v>
          </cell>
          <cell r="C352" t="str">
            <v>AEROPORTO PRÉ-PLANEJADO EM SEDE DE UTP</v>
          </cell>
          <cell r="D352" t="str">
            <v>MA-017_2109106</v>
          </cell>
          <cell r="E352" t="str">
            <v>PRESIDENTE DUTRA</v>
          </cell>
          <cell r="F352" t="str">
            <v>MA</v>
          </cell>
        </row>
        <row r="353">
          <cell r="B353" t="str">
            <v>N146</v>
          </cell>
          <cell r="C353" t="str">
            <v>AEROPORTO PRÉ-PLANEJADO FORA DE SEDE DE UTP</v>
          </cell>
          <cell r="D353" t="str">
            <v>TO-003_1703701</v>
          </cell>
          <cell r="E353" t="str">
            <v>BREJINHO DE NAZARÉ</v>
          </cell>
          <cell r="F353" t="str">
            <v>TO</v>
          </cell>
        </row>
        <row r="354">
          <cell r="B354" t="str">
            <v>SJ9A</v>
          </cell>
          <cell r="C354" t="str">
            <v>BARREIRINHA</v>
          </cell>
          <cell r="D354" t="str">
            <v>AM0111_1300508</v>
          </cell>
          <cell r="E354" t="str">
            <v>BARREIRINHA</v>
          </cell>
          <cell r="F354" t="str">
            <v>AM</v>
          </cell>
        </row>
        <row r="355">
          <cell r="B355" t="str">
            <v>SJ7Z</v>
          </cell>
          <cell r="C355" t="str">
            <v>DE ABARÉ</v>
          </cell>
          <cell r="D355" t="str">
            <v>BA0039_2900207</v>
          </cell>
          <cell r="E355" t="str">
            <v>ABARÉ</v>
          </cell>
          <cell r="F355" t="str">
            <v>BA</v>
          </cell>
        </row>
        <row r="356">
          <cell r="B356" t="str">
            <v>N871</v>
          </cell>
          <cell r="C356" t="str">
            <v>AEROPORTO PRÉ-PLANEJADO EM SEDE DE UTP</v>
          </cell>
          <cell r="D356" t="str">
            <v>AM-011_1304260</v>
          </cell>
          <cell r="E356" t="str">
            <v>UARINI</v>
          </cell>
          <cell r="F356" t="str">
            <v>AM</v>
          </cell>
        </row>
        <row r="357">
          <cell r="B357" t="str">
            <v>SNGT</v>
          </cell>
          <cell r="C357" t="str">
            <v>GENTIO DO OURO</v>
          </cell>
          <cell r="D357" t="str">
            <v>BA0029_2911303</v>
          </cell>
          <cell r="E357" t="str">
            <v>GENTIO DO OURO</v>
          </cell>
          <cell r="F357" t="str">
            <v>BA</v>
          </cell>
        </row>
        <row r="358">
          <cell r="B358" t="str">
            <v>N702</v>
          </cell>
          <cell r="C358" t="str">
            <v>AEROPORTO PRÉ-PLANEJADO EM SEDE DE UTP</v>
          </cell>
          <cell r="D358" t="str">
            <v>AM-006_1302801</v>
          </cell>
          <cell r="E358" t="str">
            <v>MARAÃ</v>
          </cell>
          <cell r="F358" t="str">
            <v>AM</v>
          </cell>
        </row>
        <row r="359">
          <cell r="B359" t="str">
            <v>SSCI</v>
          </cell>
          <cell r="C359" t="str">
            <v>COXIM</v>
          </cell>
          <cell r="D359" t="str">
            <v>MS0012_5003306</v>
          </cell>
          <cell r="E359" t="str">
            <v>COXIM</v>
          </cell>
          <cell r="F359" t="str">
            <v>MS</v>
          </cell>
        </row>
        <row r="360">
          <cell r="B360" t="str">
            <v>SSPM</v>
          </cell>
          <cell r="C360" t="str">
            <v>PORTO MURTINHO</v>
          </cell>
          <cell r="D360" t="str">
            <v>MS0013_5006903</v>
          </cell>
          <cell r="E360" t="str">
            <v>PORTO MURTINHO</v>
          </cell>
          <cell r="F360" t="str">
            <v>MS</v>
          </cell>
        </row>
        <row r="361">
          <cell r="B361" t="str">
            <v>SBTS</v>
          </cell>
          <cell r="C361" t="str">
            <v>TIRIOS</v>
          </cell>
          <cell r="D361" t="str">
            <v>PA9002_1505106</v>
          </cell>
          <cell r="E361" t="str">
            <v>Óbidos</v>
          </cell>
          <cell r="F361" t="str">
            <v>PA</v>
          </cell>
        </row>
        <row r="362">
          <cell r="B362" t="str">
            <v>SDOU</v>
          </cell>
          <cell r="C362" t="str">
            <v>JORNALISTA BENEDITO PIMENTEL</v>
          </cell>
          <cell r="D362" t="str">
            <v>SP0023_3534708</v>
          </cell>
          <cell r="E362" t="str">
            <v>OURINHOS</v>
          </cell>
          <cell r="F362" t="str">
            <v>SP</v>
          </cell>
        </row>
        <row r="363">
          <cell r="B363" t="str">
            <v>N336</v>
          </cell>
          <cell r="C363" t="str">
            <v>AEROPORTO PRÉ-PLANEJADO EM SEDE DE UTP</v>
          </cell>
          <cell r="D363" t="str">
            <v>BA-015_2910701</v>
          </cell>
          <cell r="E363" t="str">
            <v>EUCLIDES DA CUNHA</v>
          </cell>
          <cell r="F363" t="str">
            <v>BA</v>
          </cell>
        </row>
        <row r="364">
          <cell r="B364" t="str">
            <v>SWGI</v>
          </cell>
          <cell r="C364" t="str">
            <v>GURUPI</v>
          </cell>
          <cell r="D364" t="str">
            <v>TO0004_1709500</v>
          </cell>
          <cell r="E364" t="str">
            <v>GURUPI</v>
          </cell>
          <cell r="F364" t="str">
            <v>TO</v>
          </cell>
        </row>
        <row r="365">
          <cell r="B365" t="str">
            <v>N764</v>
          </cell>
          <cell r="C365" t="str">
            <v>AEROPORTO PRÉ-PLANEJADO EM SEDE DE UTP</v>
          </cell>
          <cell r="D365" t="str">
            <v>RO-005_1101468</v>
          </cell>
          <cell r="E365" t="str">
            <v>PIMENTEIRAS DO OESTE</v>
          </cell>
          <cell r="F365" t="str">
            <v>RO</v>
          </cell>
        </row>
        <row r="366">
          <cell r="B366" t="str">
            <v>SNBX</v>
          </cell>
          <cell r="C366" t="str">
            <v>BARRA</v>
          </cell>
          <cell r="D366" t="str">
            <v>BA0028_2902708</v>
          </cell>
          <cell r="E366" t="str">
            <v>BARRA</v>
          </cell>
          <cell r="F366" t="str">
            <v>BA</v>
          </cell>
        </row>
        <row r="367">
          <cell r="B367" t="str">
            <v>N014</v>
          </cell>
          <cell r="C367" t="str">
            <v>AEROPORTO PRÉ-PLANEJADO EM SEDE DE UTP</v>
          </cell>
          <cell r="D367" t="str">
            <v>PI-001_2200509</v>
          </cell>
          <cell r="E367" t="str">
            <v>AMARANTE</v>
          </cell>
          <cell r="F367" t="str">
            <v>PI</v>
          </cell>
        </row>
        <row r="368">
          <cell r="B368" t="str">
            <v>SSOG</v>
          </cell>
          <cell r="C368" t="str">
            <v>ARAPONGAS</v>
          </cell>
          <cell r="D368" t="str">
            <v>PR0027_4101507</v>
          </cell>
          <cell r="E368" t="str">
            <v>ARAPONGAS</v>
          </cell>
          <cell r="F368" t="str">
            <v>PR</v>
          </cell>
        </row>
        <row r="369">
          <cell r="B369" t="str">
            <v>SBAA</v>
          </cell>
          <cell r="C369" t="str">
            <v>CONCEIÇÃO DO ARAGUAIA</v>
          </cell>
          <cell r="D369" t="str">
            <v>PA0008_1502707</v>
          </cell>
          <cell r="E369" t="str">
            <v>CONCEIÇÃO DO ARAGUAIA</v>
          </cell>
          <cell r="F369" t="str">
            <v>PA</v>
          </cell>
        </row>
        <row r="370">
          <cell r="B370" t="str">
            <v>N293</v>
          </cell>
          <cell r="C370" t="str">
            <v>AEROPORTO PRÉ-PLANEJADO EM SEDE DE UTP</v>
          </cell>
          <cell r="D370" t="str">
            <v>AL-002_2706703</v>
          </cell>
          <cell r="E370" t="str">
            <v>PENEDO</v>
          </cell>
          <cell r="F370" t="str">
            <v>AL</v>
          </cell>
        </row>
        <row r="371">
          <cell r="B371" t="str">
            <v>SNRJ</v>
          </cell>
          <cell r="C371" t="str">
            <v>JURUTI</v>
          </cell>
          <cell r="D371" t="str">
            <v>PA0103_1503903</v>
          </cell>
          <cell r="E371" t="str">
            <v>JURUTI</v>
          </cell>
          <cell r="F371" t="str">
            <v>PA</v>
          </cell>
        </row>
        <row r="372">
          <cell r="B372" t="str">
            <v>SNAP</v>
          </cell>
          <cell r="C372" t="str">
            <v>JANAÚBA</v>
          </cell>
          <cell r="D372" t="str">
            <v>MG0021_3135100</v>
          </cell>
          <cell r="E372" t="str">
            <v>JANAÚBA</v>
          </cell>
          <cell r="F372" t="str">
            <v>MG</v>
          </cell>
        </row>
        <row r="373">
          <cell r="B373" t="str">
            <v>N869</v>
          </cell>
          <cell r="C373" t="str">
            <v>AEROPORTO PRÉ-PLANEJADO EM SEDE DE UTP</v>
          </cell>
          <cell r="D373" t="str">
            <v>MT-004_5105176</v>
          </cell>
          <cell r="E373" t="str">
            <v>JURUENA</v>
          </cell>
          <cell r="F373" t="str">
            <v>MT</v>
          </cell>
        </row>
        <row r="374">
          <cell r="B374" t="str">
            <v>SD4L</v>
          </cell>
          <cell r="C374" t="str">
            <v>MONTE CARMELO</v>
          </cell>
          <cell r="D374" t="str">
            <v>MG0067_3143104</v>
          </cell>
          <cell r="E374" t="str">
            <v>MONTE CARMELO</v>
          </cell>
          <cell r="F374" t="str">
            <v>MG</v>
          </cell>
        </row>
        <row r="375">
          <cell r="B375" t="str">
            <v>N303</v>
          </cell>
          <cell r="C375" t="str">
            <v>AEROPORTO PRÉ-PLANEJADO EM SEDE DE UTP</v>
          </cell>
          <cell r="D375" t="str">
            <v>BA-001_2900355</v>
          </cell>
          <cell r="E375" t="str">
            <v>ADUSTINA</v>
          </cell>
          <cell r="F375" t="str">
            <v>BA</v>
          </cell>
        </row>
        <row r="376">
          <cell r="B376" t="str">
            <v>N677</v>
          </cell>
          <cell r="C376" t="str">
            <v>AEROPORTO PRÉ-PLANEJADO EM SEDE DE UTP</v>
          </cell>
          <cell r="D376" t="str">
            <v>RN-004_2405504</v>
          </cell>
          <cell r="E376" t="str">
            <v>JARDIM DE ANGICOS</v>
          </cell>
          <cell r="F376" t="str">
            <v>RN</v>
          </cell>
        </row>
        <row r="377">
          <cell r="B377" t="str">
            <v>N615</v>
          </cell>
          <cell r="C377" t="str">
            <v>AEROPORTO PRÉ-PLANEJADO EM SEDE DE UTP</v>
          </cell>
          <cell r="D377" t="str">
            <v>BA-012_2909901</v>
          </cell>
          <cell r="E377" t="str">
            <v>CURAÇÁ</v>
          </cell>
          <cell r="F377" t="str">
            <v>BA</v>
          </cell>
        </row>
        <row r="378">
          <cell r="B378" t="str">
            <v>N109</v>
          </cell>
          <cell r="C378" t="str">
            <v>AEROPORTO PRÉ-PLANEJADO EM SEDE DE UTP</v>
          </cell>
          <cell r="D378" t="str">
            <v>MG-011_3113008</v>
          </cell>
          <cell r="E378" t="str">
            <v>CARAÍ</v>
          </cell>
          <cell r="F378" t="str">
            <v>MG</v>
          </cell>
        </row>
        <row r="379">
          <cell r="B379" t="str">
            <v>SN7E</v>
          </cell>
          <cell r="C379" t="str">
            <v>FAZENDA SÃO JERÔNIMO</v>
          </cell>
          <cell r="D379" t="str">
            <v>MT0199_5100409</v>
          </cell>
          <cell r="E379" t="str">
            <v>ALTO GARÇAS</v>
          </cell>
          <cell r="F379" t="str">
            <v>MT</v>
          </cell>
        </row>
        <row r="380">
          <cell r="B380" t="str">
            <v>SNAL</v>
          </cell>
          <cell r="C380" t="str">
            <v>ARAPIRACA</v>
          </cell>
          <cell r="D380" t="str">
            <v>AL0003_2700300</v>
          </cell>
          <cell r="E380" t="str">
            <v>ARAPIRACA</v>
          </cell>
          <cell r="F380" t="str">
            <v>AL</v>
          </cell>
        </row>
        <row r="381">
          <cell r="B381" t="str">
            <v>SDLE</v>
          </cell>
          <cell r="C381" t="str">
            <v>RIO DE CONTAS</v>
          </cell>
          <cell r="D381" t="str">
            <v>BA0038_2926707</v>
          </cell>
          <cell r="E381" t="str">
            <v>RIO DE CONTAS</v>
          </cell>
          <cell r="F381" t="str">
            <v>BA</v>
          </cell>
        </row>
        <row r="382">
          <cell r="B382" t="str">
            <v>N827</v>
          </cell>
          <cell r="C382" t="str">
            <v>AEROPORTO PRÉ-PLANEJADO EM SEDE DE UTP</v>
          </cell>
          <cell r="D382" t="str">
            <v>MG-036_3161106</v>
          </cell>
          <cell r="E382" t="str">
            <v>SÃO FRANCISCO</v>
          </cell>
          <cell r="F382" t="str">
            <v>MG</v>
          </cell>
        </row>
        <row r="383">
          <cell r="B383" t="str">
            <v>N204</v>
          </cell>
          <cell r="C383" t="str">
            <v>AEROPORTO PRÉ-PLANEJADO EM SEDE DE UTP</v>
          </cell>
          <cell r="D383" t="str">
            <v>RS-025_4317103</v>
          </cell>
          <cell r="E383" t="str">
            <v>SANT'ANA DO LIVRAMENTO</v>
          </cell>
          <cell r="F383" t="str">
            <v>RS</v>
          </cell>
        </row>
        <row r="384">
          <cell r="B384" t="str">
            <v>SDDR</v>
          </cell>
          <cell r="C384" t="str">
            <v>DRACENA</v>
          </cell>
          <cell r="D384" t="str">
            <v>SP0021_3514403</v>
          </cell>
          <cell r="E384" t="str">
            <v>DRACENA</v>
          </cell>
          <cell r="F384" t="str">
            <v>SP</v>
          </cell>
        </row>
        <row r="385">
          <cell r="B385" t="str">
            <v>SWPG</v>
          </cell>
          <cell r="C385" t="str">
            <v>PORTO DOS GAÚCHOS</v>
          </cell>
          <cell r="D385" t="str">
            <v>MT0010_5106802</v>
          </cell>
          <cell r="E385" t="str">
            <v>PORTO DOS GAÚCHOS</v>
          </cell>
          <cell r="F385" t="str">
            <v>MT</v>
          </cell>
        </row>
        <row r="386">
          <cell r="B386" t="str">
            <v>N537</v>
          </cell>
          <cell r="C386" t="str">
            <v>AEROPORTO PRÉ-PLANEJADO EM SEDE DE UTP</v>
          </cell>
          <cell r="D386" t="str">
            <v>MG-006_3108602</v>
          </cell>
          <cell r="E386" t="str">
            <v>BRASÍLIA DE MINAS</v>
          </cell>
          <cell r="F386" t="str">
            <v>MG</v>
          </cell>
        </row>
        <row r="387">
          <cell r="B387" t="str">
            <v>SJ4Y</v>
          </cell>
          <cell r="C387" t="str">
            <v>MORRINHOS</v>
          </cell>
          <cell r="D387" t="str">
            <v>GO0028_5213806</v>
          </cell>
          <cell r="E387" t="str">
            <v>MORRINHOS</v>
          </cell>
          <cell r="F387" t="str">
            <v>GO</v>
          </cell>
        </row>
        <row r="388">
          <cell r="B388" t="str">
            <v>SWXM</v>
          </cell>
          <cell r="C388" t="str">
            <v>REGIONAL ORLANDO VILLAS BOAS</v>
          </cell>
          <cell r="D388" t="str">
            <v>MT0014_5105606</v>
          </cell>
          <cell r="E388" t="str">
            <v>MATUPÁ</v>
          </cell>
          <cell r="F388" t="str">
            <v>MT</v>
          </cell>
        </row>
        <row r="389">
          <cell r="B389" t="str">
            <v>N811</v>
          </cell>
          <cell r="C389" t="str">
            <v>AEROPORTO PRÉ-PLANEJADO FORA DE SEDE DE UTP</v>
          </cell>
          <cell r="D389" t="str">
            <v>RS-027_4320701</v>
          </cell>
          <cell r="E389" t="str">
            <v>SOBRADINHO</v>
          </cell>
          <cell r="F389" t="str">
            <v>RS</v>
          </cell>
        </row>
        <row r="390">
          <cell r="B390" t="str">
            <v>N812</v>
          </cell>
          <cell r="C390" t="str">
            <v>AEROPORTO PRÉ-PLANEJADO EM SEDE DE UTP</v>
          </cell>
          <cell r="D390" t="str">
            <v>PE-008_2612604</v>
          </cell>
          <cell r="E390" t="str">
            <v>SANTA MARIA DA BOA VISTA</v>
          </cell>
          <cell r="F390" t="str">
            <v>PE</v>
          </cell>
        </row>
        <row r="391">
          <cell r="B391" t="str">
            <v>SNAX</v>
          </cell>
          <cell r="C391" t="str">
            <v>MARCELO PIRES HALZHAUSEN</v>
          </cell>
          <cell r="D391" t="str">
            <v>SP0016_3504008</v>
          </cell>
          <cell r="E391" t="str">
            <v>ASSIS</v>
          </cell>
          <cell r="F391" t="str">
            <v>SP</v>
          </cell>
        </row>
        <row r="392">
          <cell r="B392" t="str">
            <v>N505</v>
          </cell>
          <cell r="C392" t="str">
            <v>AEROPORTO PRÉ-PLANEJADO EM SEDE DE UTP</v>
          </cell>
          <cell r="D392" t="str">
            <v>MS-002_5001003</v>
          </cell>
          <cell r="E392" t="str">
            <v>APARECIDA DO TABOADO</v>
          </cell>
          <cell r="F392" t="str">
            <v>MS</v>
          </cell>
        </row>
        <row r="393">
          <cell r="B393" t="str">
            <v>SWBG</v>
          </cell>
          <cell r="C393" t="str">
            <v>ANDRÉ ANTÔNIO MAGGI</v>
          </cell>
          <cell r="D393" t="str">
            <v>MT0009_5106752</v>
          </cell>
          <cell r="E393" t="str">
            <v>PONTES E LACERDA</v>
          </cell>
          <cell r="F393" t="str">
            <v>MT</v>
          </cell>
        </row>
        <row r="394">
          <cell r="B394" t="str">
            <v>N412</v>
          </cell>
          <cell r="C394" t="str">
            <v>AEROPORTO PRÉ-PLANEJADO EM SEDE DE UTP</v>
          </cell>
          <cell r="D394" t="str">
            <v>RN-007_2412203</v>
          </cell>
          <cell r="E394" t="str">
            <v>SÃO JOSÉ DE MIPIBU</v>
          </cell>
          <cell r="F394" t="str">
            <v>RN</v>
          </cell>
        </row>
        <row r="395">
          <cell r="B395" t="str">
            <v>SSEZ</v>
          </cell>
          <cell r="C395" t="str">
            <v>ESPUMOSO</v>
          </cell>
          <cell r="D395" t="str">
            <v>RS0050_4307500</v>
          </cell>
          <cell r="E395" t="str">
            <v>ESPUMOSO</v>
          </cell>
          <cell r="F395" t="str">
            <v>RS</v>
          </cell>
        </row>
        <row r="396">
          <cell r="B396" t="str">
            <v>N245</v>
          </cell>
          <cell r="C396" t="str">
            <v>AEROPORTO PRÉ-PLANEJADO FORA DE SEDE DE UTP</v>
          </cell>
          <cell r="D396" t="str">
            <v>RN-003_2402006</v>
          </cell>
          <cell r="E396" t="str">
            <v>CAICÓ</v>
          </cell>
          <cell r="F396" t="str">
            <v>RN</v>
          </cell>
        </row>
        <row r="397">
          <cell r="B397" t="str">
            <v>SWGO</v>
          </cell>
          <cell r="C397" t="str">
            <v>SANTA CECÍLIA</v>
          </cell>
          <cell r="D397" t="str">
            <v>GO0123_5208608</v>
          </cell>
          <cell r="E397" t="str">
            <v>GOIANÉSIA</v>
          </cell>
          <cell r="F397" t="str">
            <v>GO</v>
          </cell>
        </row>
        <row r="398">
          <cell r="B398" t="str">
            <v>SWNH</v>
          </cell>
          <cell r="C398" t="str">
            <v>ARUANÃ</v>
          </cell>
          <cell r="D398" t="str">
            <v>GO0017_5202502</v>
          </cell>
          <cell r="E398" t="str">
            <v>ARUANÃ</v>
          </cell>
          <cell r="F398" t="str">
            <v>GO</v>
          </cell>
        </row>
        <row r="399">
          <cell r="B399" t="str">
            <v>SSSG</v>
          </cell>
          <cell r="C399" t="str">
            <v>SÃO GABRIEL</v>
          </cell>
          <cell r="D399" t="str">
            <v>RS0035_4318309</v>
          </cell>
          <cell r="E399" t="str">
            <v>SÃO GABRIEL</v>
          </cell>
          <cell r="F399" t="str">
            <v>RS</v>
          </cell>
        </row>
        <row r="400">
          <cell r="B400" t="str">
            <v>SNLT</v>
          </cell>
          <cell r="C400" t="str">
            <v>PAULISTANA</v>
          </cell>
          <cell r="D400" t="str">
            <v>PI0010_2207801</v>
          </cell>
          <cell r="E400" t="str">
            <v>PAULISTANA</v>
          </cell>
          <cell r="F400" t="str">
            <v>PI</v>
          </cell>
        </row>
        <row r="401">
          <cell r="B401" t="str">
            <v>SSKS</v>
          </cell>
          <cell r="C401" t="str">
            <v>BRIGADEIRO NERO MOURA</v>
          </cell>
          <cell r="D401" t="str">
            <v>RS0039_4303004</v>
          </cell>
          <cell r="E401" t="str">
            <v>CACHOEIRA DO SUL</v>
          </cell>
          <cell r="F401" t="str">
            <v>RS</v>
          </cell>
        </row>
        <row r="402">
          <cell r="B402" t="str">
            <v>SSAB</v>
          </cell>
          <cell r="C402" t="str">
            <v>MOISÉS LUPION</v>
          </cell>
          <cell r="D402" t="str">
            <v>PR0024_4109708</v>
          </cell>
          <cell r="E402" t="str">
            <v>IBAITI</v>
          </cell>
          <cell r="F402" t="str">
            <v>PR</v>
          </cell>
        </row>
        <row r="403">
          <cell r="B403" t="str">
            <v>N467</v>
          </cell>
          <cell r="C403" t="str">
            <v>AEROPORTO PRÉ-PLANEJADO FORA DE SEDE DE UTP</v>
          </cell>
          <cell r="D403" t="str">
            <v>MG-017_3137700</v>
          </cell>
          <cell r="E403" t="str">
            <v>LAJINHA</v>
          </cell>
          <cell r="F403" t="str">
            <v>MG</v>
          </cell>
        </row>
        <row r="404">
          <cell r="B404" t="str">
            <v>SSLO</v>
          </cell>
          <cell r="C404" t="str">
            <v>ATTILLIO ACCORSI</v>
          </cell>
          <cell r="D404" t="str">
            <v>PR0031_4113502</v>
          </cell>
          <cell r="E404" t="str">
            <v>LOANDA</v>
          </cell>
          <cell r="F404" t="str">
            <v>PR</v>
          </cell>
        </row>
        <row r="405">
          <cell r="B405" t="str">
            <v>N377</v>
          </cell>
          <cell r="C405" t="str">
            <v>AEROPORTO PRÉ-PLANEJADO FORA DE SEDE DE UTP</v>
          </cell>
          <cell r="D405" t="str">
            <v>BA-024_2925105</v>
          </cell>
          <cell r="E405" t="str">
            <v>POÇÕES</v>
          </cell>
          <cell r="F405" t="str">
            <v>BA</v>
          </cell>
        </row>
        <row r="406">
          <cell r="B406" t="str">
            <v>N434</v>
          </cell>
          <cell r="C406" t="str">
            <v>AEROPORTO PRÉ-PLANEJADO EM SEDE DE UTP</v>
          </cell>
          <cell r="D406" t="str">
            <v>PB-010_2516003</v>
          </cell>
          <cell r="E406" t="str">
            <v>SOLÂNEA</v>
          </cell>
          <cell r="F406" t="str">
            <v>PB</v>
          </cell>
        </row>
        <row r="407">
          <cell r="B407" t="str">
            <v>SJLH</v>
          </cell>
          <cell r="C407" t="str">
            <v>JACAMIM</v>
          </cell>
          <cell r="D407" t="str">
            <v>RR0050_1400159</v>
          </cell>
          <cell r="E407" t="str">
            <v>BONFIM</v>
          </cell>
          <cell r="F407" t="str">
            <v>RR</v>
          </cell>
        </row>
        <row r="408">
          <cell r="B408" t="str">
            <v>SWHT</v>
          </cell>
          <cell r="C408" t="str">
            <v>HUMAITÁ</v>
          </cell>
          <cell r="D408" t="str">
            <v>AM0019_1301704</v>
          </cell>
          <cell r="E408" t="str">
            <v>HUMAITÁ</v>
          </cell>
          <cell r="F408" t="str">
            <v>AM</v>
          </cell>
        </row>
        <row r="409">
          <cell r="B409" t="str">
            <v>N283</v>
          </cell>
          <cell r="C409" t="str">
            <v>AEROPORTO PRÉ-PLANEJADO EM SEDE DE UTP</v>
          </cell>
          <cell r="D409" t="str">
            <v>GO-011_5213004</v>
          </cell>
          <cell r="E409" t="str">
            <v>MAURILÂNDIA</v>
          </cell>
          <cell r="F409" t="str">
            <v>GO</v>
          </cell>
        </row>
        <row r="410">
          <cell r="B410" t="str">
            <v>SDTI</v>
          </cell>
          <cell r="C410" t="str">
            <v>TUPI PAULISTA</v>
          </cell>
          <cell r="D410" t="str">
            <v>SP0073_3555109</v>
          </cell>
          <cell r="E410" t="str">
            <v>TUPI PAULISTA</v>
          </cell>
          <cell r="F410" t="str">
            <v>SP</v>
          </cell>
        </row>
        <row r="411">
          <cell r="B411" t="str">
            <v>N913</v>
          </cell>
          <cell r="C411" t="str">
            <v>AEROPORTO PRÉ-PLANEJADO EM SEDE DE UTP</v>
          </cell>
          <cell r="D411" t="str">
            <v>GO-006_5206206</v>
          </cell>
          <cell r="E411" t="str">
            <v>CRISTALINA</v>
          </cell>
          <cell r="F411" t="str">
            <v>GO</v>
          </cell>
        </row>
        <row r="412">
          <cell r="B412" t="str">
            <v>SWUJ</v>
          </cell>
          <cell r="C412" t="str">
            <v>SÃO GOTARDO</v>
          </cell>
          <cell r="D412" t="str">
            <v>MG0204_3162104</v>
          </cell>
          <cell r="E412" t="str">
            <v>SÃO GOTARDO</v>
          </cell>
          <cell r="F412" t="str">
            <v>MG</v>
          </cell>
        </row>
        <row r="413">
          <cell r="B413" t="str">
            <v>SNPX</v>
          </cell>
          <cell r="C413" t="str">
            <v>PIRAPORA</v>
          </cell>
          <cell r="D413" t="str">
            <v>MG0028_3151206</v>
          </cell>
          <cell r="E413" t="str">
            <v>PIRAPORA</v>
          </cell>
          <cell r="F413" t="str">
            <v>MG</v>
          </cell>
        </row>
        <row r="414">
          <cell r="B414" t="str">
            <v>SN2C</v>
          </cell>
          <cell r="C414" t="str">
            <v>MORRO DO CHAPÉU</v>
          </cell>
          <cell r="D414" t="str">
            <v>BA0059_2921708</v>
          </cell>
          <cell r="E414" t="str">
            <v>MORRO DO CHAPÉU</v>
          </cell>
          <cell r="F414" t="str">
            <v>BA</v>
          </cell>
        </row>
        <row r="415">
          <cell r="B415" t="str">
            <v>N495</v>
          </cell>
          <cell r="C415" t="str">
            <v>AEROPORTO PRÉ-PLANEJADO EM SEDE DE UTP</v>
          </cell>
          <cell r="D415" t="str">
            <v>MG-027_3148707</v>
          </cell>
          <cell r="E415" t="str">
            <v>PEDRA AZUL</v>
          </cell>
          <cell r="F415" t="str">
            <v>MG</v>
          </cell>
        </row>
        <row r="416">
          <cell r="B416" t="str">
            <v>SWPR</v>
          </cell>
          <cell r="C416" t="str">
            <v>PIRES DO RIO</v>
          </cell>
          <cell r="D416" t="str">
            <v>GO0029_5217401</v>
          </cell>
          <cell r="E416" t="str">
            <v>PIRES DO RIO</v>
          </cell>
          <cell r="F416" t="str">
            <v>GO</v>
          </cell>
        </row>
        <row r="417">
          <cell r="B417" t="str">
            <v>N539</v>
          </cell>
          <cell r="C417" t="str">
            <v>AEROPORTO PRÉ-PLANEJADO EM SEDE DE UTP</v>
          </cell>
          <cell r="D417" t="str">
            <v>MA-003_2102101</v>
          </cell>
          <cell r="E417" t="str">
            <v>BREJO</v>
          </cell>
          <cell r="F417" t="str">
            <v>MA</v>
          </cell>
        </row>
        <row r="418">
          <cell r="B418" t="str">
            <v>SSKZ</v>
          </cell>
          <cell r="C418" t="str">
            <v>CARAZINHO</v>
          </cell>
          <cell r="D418" t="str">
            <v>RS0009_4304705</v>
          </cell>
          <cell r="E418" t="str">
            <v>CARAZINHO</v>
          </cell>
          <cell r="F418" t="str">
            <v>RS</v>
          </cell>
        </row>
        <row r="419">
          <cell r="B419" t="str">
            <v>N921</v>
          </cell>
          <cell r="C419" t="str">
            <v>AEROPORTO PRÉ-PLANEJADO FORA DE SEDE DE UTP</v>
          </cell>
          <cell r="D419" t="str">
            <v>PR-010_4121604</v>
          </cell>
          <cell r="E419" t="str">
            <v>RENASCENÇA</v>
          </cell>
          <cell r="F419" t="str">
            <v>PR</v>
          </cell>
        </row>
        <row r="420">
          <cell r="B420" t="str">
            <v>SSCL</v>
          </cell>
          <cell r="C420" t="str">
            <v>CASSILÂNDIA</v>
          </cell>
          <cell r="D420" t="str">
            <v>MS0018_5002902</v>
          </cell>
          <cell r="E420" t="str">
            <v>CASSILÂNDIA</v>
          </cell>
          <cell r="F420" t="str">
            <v>MS</v>
          </cell>
        </row>
        <row r="421">
          <cell r="B421" t="str">
            <v>SSYR</v>
          </cell>
          <cell r="C421" t="str">
            <v>JOSÉ MENDES RIBEIRO</v>
          </cell>
          <cell r="D421" t="str">
            <v>MA0049_2111102</v>
          </cell>
          <cell r="E421" t="str">
            <v>SÃO JOÃO DOS PATOS</v>
          </cell>
          <cell r="F421" t="str">
            <v>MA</v>
          </cell>
        </row>
        <row r="422">
          <cell r="B422" t="str">
            <v>SNIU</v>
          </cell>
          <cell r="C422" t="str">
            <v>IPIAÚ</v>
          </cell>
          <cell r="D422" t="str">
            <v>BA0030_2913903</v>
          </cell>
          <cell r="E422" t="str">
            <v>IPIAÚ</v>
          </cell>
          <cell r="F422" t="str">
            <v>BA</v>
          </cell>
        </row>
        <row r="423">
          <cell r="B423" t="str">
            <v>N205</v>
          </cell>
          <cell r="C423" t="str">
            <v>AEROPORTO PRÉ-PLANEJADO EM SEDE DE UTP</v>
          </cell>
          <cell r="D423" t="str">
            <v>PR-011_4124400</v>
          </cell>
          <cell r="E423" t="str">
            <v>SANTO ANTÔNIO DO SUDOESTE</v>
          </cell>
          <cell r="F423" t="str">
            <v>PR</v>
          </cell>
        </row>
        <row r="424">
          <cell r="B424" t="str">
            <v>SNKN</v>
          </cell>
          <cell r="C424" t="str">
            <v>CURRAIS NOVOS</v>
          </cell>
          <cell r="D424" t="str">
            <v>RN0004_2403103</v>
          </cell>
          <cell r="E424" t="str">
            <v>CURRAIS NOVOS</v>
          </cell>
          <cell r="F424" t="str">
            <v>RN</v>
          </cell>
        </row>
        <row r="425">
          <cell r="B425" t="str">
            <v>SSGO</v>
          </cell>
          <cell r="C425" t="str">
            <v>ROSADA</v>
          </cell>
          <cell r="D425" t="str">
            <v>MS0277_5007695</v>
          </cell>
          <cell r="E425" t="str">
            <v>SÃO GABRIEL DO OESTE</v>
          </cell>
          <cell r="F425" t="str">
            <v>MS</v>
          </cell>
        </row>
        <row r="426">
          <cell r="B426" t="str">
            <v>N584</v>
          </cell>
          <cell r="C426" t="str">
            <v>AEROPORTO PRÉ-PLANEJADO EM SEDE DE UTP</v>
          </cell>
          <cell r="D426" t="str">
            <v>RO-003_1100056</v>
          </cell>
          <cell r="E426" t="str">
            <v>CEREJEIRAS</v>
          </cell>
          <cell r="F426" t="str">
            <v>RO</v>
          </cell>
        </row>
        <row r="427">
          <cell r="B427" t="str">
            <v>N543</v>
          </cell>
          <cell r="C427" t="str">
            <v>AEROPORTO PRÉ-PLANEJADO EM SEDE DE UTP</v>
          </cell>
          <cell r="D427" t="str">
            <v>MG-042_3171600</v>
          </cell>
          <cell r="E427" t="str">
            <v>VIRGEM DA LAPA</v>
          </cell>
          <cell r="F427" t="str">
            <v>MG</v>
          </cell>
        </row>
        <row r="428">
          <cell r="B428" t="str">
            <v>SWBV</v>
          </cell>
          <cell r="C428" t="str">
            <v>AUARIS</v>
          </cell>
          <cell r="D428" t="str">
            <v>RR0108_1400027</v>
          </cell>
          <cell r="E428" t="str">
            <v>AMAJARI</v>
          </cell>
          <cell r="F428" t="str">
            <v>RR</v>
          </cell>
        </row>
        <row r="429">
          <cell r="B429" t="str">
            <v>N429</v>
          </cell>
          <cell r="C429" t="str">
            <v>AEROPORTO PRÉ-PLANEJADO FORA DE SEDE DE UTP</v>
          </cell>
          <cell r="D429" t="str">
            <v>PE-001_2600104</v>
          </cell>
          <cell r="E429" t="str">
            <v>AFOGADOS DA INGAZEIRA</v>
          </cell>
          <cell r="F429" t="str">
            <v>PE</v>
          </cell>
        </row>
        <row r="430">
          <cell r="B430" t="str">
            <v>SNTR</v>
          </cell>
          <cell r="C430" t="str">
            <v>PIRITIBA</v>
          </cell>
          <cell r="D430" t="str">
            <v>BA0036_2924801</v>
          </cell>
          <cell r="E430" t="str">
            <v>PIRITIBA</v>
          </cell>
          <cell r="F430" t="str">
            <v>BA</v>
          </cell>
        </row>
        <row r="431">
          <cell r="B431" t="str">
            <v>SNSG</v>
          </cell>
          <cell r="C431" t="str">
            <v>SALGUEIRO</v>
          </cell>
          <cell r="D431" t="str">
            <v>PE0008_2612208</v>
          </cell>
          <cell r="E431" t="str">
            <v>SALGUEIRO</v>
          </cell>
          <cell r="F431" t="str">
            <v>PE</v>
          </cell>
        </row>
        <row r="432">
          <cell r="B432" t="str">
            <v>SNMR</v>
          </cell>
          <cell r="C432" t="str">
            <v>MARAÚ</v>
          </cell>
          <cell r="D432" t="str">
            <v>BA0065_2920700</v>
          </cell>
          <cell r="E432" t="str">
            <v>MARAÚ</v>
          </cell>
          <cell r="F432" t="str">
            <v>BA</v>
          </cell>
        </row>
        <row r="433">
          <cell r="B433" t="str">
            <v>SSEP</v>
          </cell>
          <cell r="C433" t="str">
            <v>SÃO SEPÉ</v>
          </cell>
          <cell r="D433" t="str">
            <v>RS0031_4319604</v>
          </cell>
          <cell r="E433" t="str">
            <v>SÃO SEPÉ</v>
          </cell>
          <cell r="F433" t="str">
            <v>RS</v>
          </cell>
        </row>
        <row r="434">
          <cell r="B434" t="str">
            <v>N284</v>
          </cell>
          <cell r="C434" t="str">
            <v>AEROPORTO PRÉ-PLANEJADO EM SEDE DE UTP</v>
          </cell>
          <cell r="D434" t="str">
            <v>RJ-013_3302809</v>
          </cell>
          <cell r="E434" t="str">
            <v>MENDES</v>
          </cell>
          <cell r="F434" t="str">
            <v>RJ</v>
          </cell>
        </row>
        <row r="435">
          <cell r="B435" t="str">
            <v>SNMI</v>
          </cell>
          <cell r="C435" t="str">
            <v>MINA CARAÍBA</v>
          </cell>
          <cell r="D435" t="str">
            <v>BA0141_2917706</v>
          </cell>
          <cell r="E435" t="str">
            <v>JAGUARARI</v>
          </cell>
          <cell r="F435" t="str">
            <v>BA</v>
          </cell>
        </row>
        <row r="436">
          <cell r="B436" t="str">
            <v>SDTK</v>
          </cell>
          <cell r="C436" t="str">
            <v>PARATY</v>
          </cell>
          <cell r="D436" t="str">
            <v>RJ0011_3303807</v>
          </cell>
          <cell r="E436" t="str">
            <v>PARATY</v>
          </cell>
          <cell r="F436" t="str">
            <v>RJ</v>
          </cell>
        </row>
        <row r="437">
          <cell r="B437" t="str">
            <v>SWBE</v>
          </cell>
          <cell r="C437" t="str">
            <v>WALFRIDO SALMITO DE ALMEIDA</v>
          </cell>
          <cell r="D437" t="str">
            <v>CE0006_2312304</v>
          </cell>
          <cell r="E437" t="str">
            <v>SÃO BENEDITO</v>
          </cell>
          <cell r="F437" t="str">
            <v>CE</v>
          </cell>
        </row>
        <row r="438">
          <cell r="B438" t="str">
            <v>N765</v>
          </cell>
          <cell r="C438" t="str">
            <v>AEROPORTO PRÉ-PLANEJADO EM SEDE DE UTP</v>
          </cell>
          <cell r="D438" t="str">
            <v>GO-013_5217104</v>
          </cell>
          <cell r="E438" t="str">
            <v>PIRACANJUBA</v>
          </cell>
          <cell r="F438" t="str">
            <v>GO</v>
          </cell>
        </row>
        <row r="439">
          <cell r="B439" t="str">
            <v>SNMJ</v>
          </cell>
          <cell r="C439" t="str">
            <v>MARACÁS</v>
          </cell>
          <cell r="D439" t="str">
            <v>BA0031_2920502</v>
          </cell>
          <cell r="E439" t="str">
            <v>MARACÁS</v>
          </cell>
          <cell r="F439" t="str">
            <v>BA</v>
          </cell>
        </row>
        <row r="440">
          <cell r="B440" t="str">
            <v>SJQN</v>
          </cell>
          <cell r="C440" t="str">
            <v>QUIRINÓPOLIS</v>
          </cell>
          <cell r="D440" t="str">
            <v>GO0006_5218508</v>
          </cell>
          <cell r="E440" t="str">
            <v>QUIRINÓPOLIS</v>
          </cell>
          <cell r="F440" t="str">
            <v>GO</v>
          </cell>
        </row>
        <row r="441">
          <cell r="B441" t="str">
            <v>SNCW</v>
          </cell>
          <cell r="C441" t="str">
            <v>CENTRO DE LANÇAMENTO DE ALCÂNTARA</v>
          </cell>
          <cell r="D441" t="str">
            <v>MA9001_2100204</v>
          </cell>
          <cell r="E441" t="str">
            <v>ALCÂNTARA</v>
          </cell>
          <cell r="F441" t="str">
            <v>MA</v>
          </cell>
        </row>
        <row r="442">
          <cell r="B442" t="str">
            <v>N586</v>
          </cell>
          <cell r="C442" t="str">
            <v>AEROPORTO PRÉ-PLANEJADO EM SEDE DE UTP</v>
          </cell>
          <cell r="D442" t="str">
            <v>GO-005_5205471</v>
          </cell>
          <cell r="E442" t="str">
            <v>CHAPADÃO DO CÉU</v>
          </cell>
          <cell r="F442" t="str">
            <v>GO</v>
          </cell>
        </row>
        <row r="443">
          <cell r="B443" t="str">
            <v>N250</v>
          </cell>
          <cell r="C443" t="str">
            <v>AEROPORTO PRÉ-PLANEJADO EM SEDE DE UTP</v>
          </cell>
          <cell r="D443" t="str">
            <v>RS-015_4311304</v>
          </cell>
          <cell r="E443" t="str">
            <v>LAGOA VERMELHA</v>
          </cell>
          <cell r="F443" t="str">
            <v>RS</v>
          </cell>
        </row>
        <row r="444">
          <cell r="B444" t="str">
            <v>N362</v>
          </cell>
          <cell r="C444" t="str">
            <v>AEROPORTO PRÉ-PLANEJADO EM SEDE DE UTP</v>
          </cell>
          <cell r="D444" t="str">
            <v>SE-002_2805703</v>
          </cell>
          <cell r="E444" t="str">
            <v>PROPRIÁ</v>
          </cell>
          <cell r="F444" t="str">
            <v>SE</v>
          </cell>
        </row>
        <row r="445">
          <cell r="B445" t="str">
            <v>N300</v>
          </cell>
          <cell r="C445" t="str">
            <v>AEROPORTO PRÉ-PLANEJADO EM SEDE DE UTP</v>
          </cell>
          <cell r="D445" t="str">
            <v>SC-012_4211751</v>
          </cell>
          <cell r="E445" t="str">
            <v>OTACÍLIO COSTA</v>
          </cell>
          <cell r="F445" t="str">
            <v>SC</v>
          </cell>
        </row>
        <row r="446">
          <cell r="B446" t="str">
            <v>N167</v>
          </cell>
          <cell r="C446" t="str">
            <v>AEROPORTO PRÉ-PLANEJADO EM SEDE DE UTP</v>
          </cell>
          <cell r="D446" t="str">
            <v>PB-004_2506301</v>
          </cell>
          <cell r="E446" t="str">
            <v>GUARABIRA</v>
          </cell>
          <cell r="F446" t="str">
            <v>PB</v>
          </cell>
        </row>
        <row r="447">
          <cell r="B447" t="str">
            <v>N158</v>
          </cell>
          <cell r="C447" t="str">
            <v>AEROPORTO PRÉ-PLANEJADO FORA DE SEDE DE UTP</v>
          </cell>
          <cell r="D447" t="str">
            <v>SP-025_3549508</v>
          </cell>
          <cell r="E447" t="str">
            <v>SÃO JOSÉ DA BELA VISTA</v>
          </cell>
          <cell r="F447" t="str">
            <v>SP</v>
          </cell>
        </row>
        <row r="448">
          <cell r="B448" t="str">
            <v>SJBY</v>
          </cell>
          <cell r="C448" t="str">
            <v>JOÃO SILVA</v>
          </cell>
          <cell r="D448" t="str">
            <v>MA0007_2109908</v>
          </cell>
          <cell r="E448" t="str">
            <v>SANTA INÊS</v>
          </cell>
          <cell r="F448" t="str">
            <v>MA</v>
          </cell>
        </row>
        <row r="449">
          <cell r="B449" t="str">
            <v>N906</v>
          </cell>
          <cell r="C449" t="str">
            <v>AEROPORTO PRÉ-PLANEJADO FORA DE SEDE DE UTP</v>
          </cell>
          <cell r="D449" t="str">
            <v>GO-003_5203906</v>
          </cell>
          <cell r="E449" t="str">
            <v>BURITI ALEGRE</v>
          </cell>
          <cell r="F449" t="str">
            <v>GO</v>
          </cell>
        </row>
        <row r="450">
          <cell r="B450" t="str">
            <v>SSPL</v>
          </cell>
          <cell r="C450" t="str">
            <v>PALMEIRA DAS MISSÕES</v>
          </cell>
          <cell r="D450" t="str">
            <v>RS0043_4313706</v>
          </cell>
          <cell r="E450" t="str">
            <v>PALMEIRA DAS MISSÕES</v>
          </cell>
          <cell r="F450" t="str">
            <v>RS</v>
          </cell>
        </row>
        <row r="451">
          <cell r="B451" t="str">
            <v>SBCD</v>
          </cell>
          <cell r="C451" t="str">
            <v>PREFEITO DR. CARLOS ALBERTO DA COSTA NEVES</v>
          </cell>
          <cell r="D451" t="str">
            <v>SC0006_4203006</v>
          </cell>
          <cell r="E451" t="str">
            <v>CAÇADOR</v>
          </cell>
          <cell r="F451" t="str">
            <v>SC</v>
          </cell>
        </row>
        <row r="452">
          <cell r="B452" t="str">
            <v>N272</v>
          </cell>
          <cell r="C452" t="str">
            <v>AEROPORTO PRÉ-PLANEJADO EM SEDE DE UTP</v>
          </cell>
          <cell r="D452" t="str">
            <v>PE-003_2601607</v>
          </cell>
          <cell r="E452" t="str">
            <v>BELÉM DO SÃO FRANCISCO</v>
          </cell>
          <cell r="F452" t="str">
            <v>PE</v>
          </cell>
        </row>
        <row r="453">
          <cell r="B453" t="str">
            <v>N334</v>
          </cell>
          <cell r="C453" t="str">
            <v>AEROPORTO PRÉ-PLANEJADO EM SEDE DE UTP</v>
          </cell>
          <cell r="D453" t="str">
            <v>BA-013_2910404</v>
          </cell>
          <cell r="E453" t="str">
            <v>ENCRUZILHADA</v>
          </cell>
          <cell r="F453" t="str">
            <v>BA</v>
          </cell>
        </row>
        <row r="454">
          <cell r="B454" t="str">
            <v>N190</v>
          </cell>
          <cell r="C454" t="str">
            <v>AEROPORTO PRÉ-PLANEJADO EM SEDE DE UTP</v>
          </cell>
          <cell r="D454" t="str">
            <v>PI-003_2202208</v>
          </cell>
          <cell r="E454" t="str">
            <v>CAMPO MAIOR</v>
          </cell>
          <cell r="F454" t="str">
            <v>PI</v>
          </cell>
        </row>
        <row r="455">
          <cell r="B455" t="str">
            <v>SNPJ</v>
          </cell>
          <cell r="C455" t="str">
            <v>PATROCÍNIO</v>
          </cell>
          <cell r="D455" t="str">
            <v>MG0042_3148103</v>
          </cell>
          <cell r="E455" t="str">
            <v>PATROCÍNIO</v>
          </cell>
          <cell r="F455" t="str">
            <v>MG</v>
          </cell>
        </row>
        <row r="456">
          <cell r="B456" t="str">
            <v>SSKU</v>
          </cell>
          <cell r="C456" t="str">
            <v>LAURO ANTÔNIO DA COSTA</v>
          </cell>
          <cell r="D456" t="str">
            <v>SC0016_4204806</v>
          </cell>
          <cell r="E456" t="str">
            <v>CURITIBANOS</v>
          </cell>
          <cell r="F456" t="str">
            <v>SC</v>
          </cell>
        </row>
        <row r="457">
          <cell r="B457" t="str">
            <v>N071</v>
          </cell>
          <cell r="C457" t="str">
            <v>AEROPORTO PRÉ-PLANEJADO FORA DE SEDE DE UTP</v>
          </cell>
          <cell r="D457" t="str">
            <v>RR-001_1400027</v>
          </cell>
          <cell r="E457" t="str">
            <v>AMAJARI</v>
          </cell>
          <cell r="F457" t="str">
            <v>RR</v>
          </cell>
        </row>
        <row r="458">
          <cell r="B458" t="str">
            <v>SNFU</v>
          </cell>
          <cell r="C458" t="str">
            <v>FRUTAL</v>
          </cell>
          <cell r="D458" t="str">
            <v>MG0063_3127107</v>
          </cell>
          <cell r="E458" t="str">
            <v>FRUTAL</v>
          </cell>
          <cell r="F458" t="str">
            <v>MG</v>
          </cell>
        </row>
        <row r="459">
          <cell r="B459" t="str">
            <v>N392</v>
          </cell>
          <cell r="C459" t="str">
            <v>AEROPORTO PRÉ-PLANEJADO FORA DE SEDE DE UTP</v>
          </cell>
          <cell r="D459" t="str">
            <v>BA-026_2928208</v>
          </cell>
          <cell r="E459" t="str">
            <v>SANTANA</v>
          </cell>
          <cell r="F459" t="str">
            <v>BA</v>
          </cell>
        </row>
        <row r="460">
          <cell r="B460" t="str">
            <v>SSRZ</v>
          </cell>
          <cell r="C460" t="str">
            <v>DÁRIO BRASIL CAPOANO DE OLIVEIRA</v>
          </cell>
          <cell r="D460" t="str">
            <v>RS0024_4316402</v>
          </cell>
          <cell r="E460" t="str">
            <v>ROSÁRIO DO SUL</v>
          </cell>
          <cell r="F460" t="str">
            <v>RS</v>
          </cell>
        </row>
        <row r="461">
          <cell r="B461" t="str">
            <v>SNKD</v>
          </cell>
          <cell r="C461" t="str">
            <v>CONCEIÇÃO DO MATO DENTRO</v>
          </cell>
          <cell r="D461" t="str">
            <v>MG0070_3117504</v>
          </cell>
          <cell r="E461" t="str">
            <v>CONCEIÇÃO DO MATO DENTRO</v>
          </cell>
          <cell r="F461" t="str">
            <v>MG</v>
          </cell>
        </row>
        <row r="462">
          <cell r="B462" t="str">
            <v>N359</v>
          </cell>
          <cell r="C462" t="str">
            <v>AEROPORTO PRÉ-PLANEJADO EM SEDE DE UTP</v>
          </cell>
          <cell r="D462" t="str">
            <v>MA-018_2109205</v>
          </cell>
          <cell r="E462" t="str">
            <v>PRESIDENTE JUSCELINO</v>
          </cell>
          <cell r="F462" t="str">
            <v>MA</v>
          </cell>
        </row>
        <row r="463">
          <cell r="B463" t="str">
            <v>SWKT</v>
          </cell>
          <cell r="C463" t="str">
            <v>CATALÃO</v>
          </cell>
          <cell r="D463" t="str">
            <v>GO0015_5205109</v>
          </cell>
          <cell r="E463" t="str">
            <v>CATALÃO</v>
          </cell>
          <cell r="F463" t="str">
            <v>GO</v>
          </cell>
        </row>
        <row r="464">
          <cell r="B464" t="str">
            <v>N746</v>
          </cell>
          <cell r="C464" t="str">
            <v>AEROPORTO PRÉ-PLANEJADO EM SEDE DE UTP</v>
          </cell>
          <cell r="D464" t="str">
            <v>RR-003_1400456</v>
          </cell>
          <cell r="E464" t="str">
            <v>PACARAIMA</v>
          </cell>
          <cell r="F464" t="str">
            <v>RR</v>
          </cell>
        </row>
        <row r="465">
          <cell r="B465" t="str">
            <v>N874</v>
          </cell>
          <cell r="C465" t="str">
            <v>AEROPORTO PRÉ-PLANEJADO EM SEDE DE UTP</v>
          </cell>
          <cell r="D465" t="str">
            <v>MT-010_5105507</v>
          </cell>
          <cell r="E465" t="str">
            <v>VILA BELA DA SANTÍSSIMA TRINDADE</v>
          </cell>
          <cell r="F465" t="str">
            <v>MT</v>
          </cell>
        </row>
        <row r="466">
          <cell r="B466" t="str">
            <v>SSWS</v>
          </cell>
          <cell r="C466" t="str">
            <v>CAÇAPAVA DO SUL</v>
          </cell>
          <cell r="D466" t="str">
            <v>RS0025_4302808</v>
          </cell>
          <cell r="E466" t="str">
            <v>CAÇAPAVA DO SUL</v>
          </cell>
          <cell r="F466" t="str">
            <v>RS</v>
          </cell>
        </row>
        <row r="467">
          <cell r="B467" t="str">
            <v>N807</v>
          </cell>
          <cell r="C467" t="str">
            <v>AEROPORTO PRÉ-PLANEJADO EM SEDE DE UTP</v>
          </cell>
          <cell r="D467" t="str">
            <v>RS-022_4316451</v>
          </cell>
          <cell r="E467" t="str">
            <v>SALTO DO JACUÍ</v>
          </cell>
          <cell r="F467" t="str">
            <v>RS</v>
          </cell>
        </row>
        <row r="468">
          <cell r="B468" t="str">
            <v>N082</v>
          </cell>
          <cell r="C468" t="str">
            <v>AEROPORTO PRÉ-PLANEJADO EM SEDE DE UTP</v>
          </cell>
          <cell r="D468" t="str">
            <v>BA-004_2904308</v>
          </cell>
          <cell r="E468" t="str">
            <v>BREJÕES</v>
          </cell>
          <cell r="F468" t="str">
            <v>BA</v>
          </cell>
        </row>
        <row r="469">
          <cell r="B469" t="str">
            <v>N873</v>
          </cell>
          <cell r="C469" t="str">
            <v>AEROPORTO PRÉ-PLANEJADO EM SEDE DE UTP</v>
          </cell>
          <cell r="D469" t="str">
            <v>MT-009_5105507</v>
          </cell>
          <cell r="E469" t="str">
            <v>VILA BELA DA SANTÍSSIMA TRINDADE</v>
          </cell>
          <cell r="F469" t="str">
            <v>MT</v>
          </cell>
        </row>
        <row r="470">
          <cell r="B470" t="str">
            <v>SSVI</v>
          </cell>
          <cell r="C470" t="str">
            <v>ÂNGELO PONZONI</v>
          </cell>
          <cell r="D470" t="str">
            <v>SC0011_4219309</v>
          </cell>
          <cell r="E470" t="str">
            <v>VIDEIRA</v>
          </cell>
          <cell r="F470" t="str">
            <v>SC</v>
          </cell>
        </row>
        <row r="471">
          <cell r="B471" t="str">
            <v>SDK7</v>
          </cell>
          <cell r="C471" t="str">
            <v>NOVA ANDRADINA</v>
          </cell>
          <cell r="D471" t="str">
            <v>MS0563_5006200</v>
          </cell>
          <cell r="E471" t="str">
            <v>NOVA ANDRADINA</v>
          </cell>
          <cell r="F471" t="str">
            <v>MS</v>
          </cell>
        </row>
        <row r="472">
          <cell r="B472" t="str">
            <v>SNPI</v>
          </cell>
          <cell r="C472" t="str">
            <v>DE PIATÃ</v>
          </cell>
          <cell r="D472" t="str">
            <v>BA0021_2924306</v>
          </cell>
          <cell r="E472" t="str">
            <v>PIATÃ</v>
          </cell>
          <cell r="F472" t="str">
            <v>BA</v>
          </cell>
        </row>
        <row r="473">
          <cell r="B473" t="str">
            <v>SSMT</v>
          </cell>
          <cell r="C473" t="str">
            <v>MOSTARDAS</v>
          </cell>
          <cell r="D473" t="str">
            <v>RS0044_4312500</v>
          </cell>
          <cell r="E473" t="str">
            <v>MOSTARDAS</v>
          </cell>
          <cell r="F473" t="str">
            <v>RS</v>
          </cell>
        </row>
        <row r="474">
          <cell r="B474" t="str">
            <v>SIBK</v>
          </cell>
          <cell r="C474" t="str">
            <v>AEROCLUBE DE BAGÉ</v>
          </cell>
          <cell r="D474" t="str">
            <v>RS0058_4301602</v>
          </cell>
          <cell r="E474" t="str">
            <v>BAGÉ</v>
          </cell>
          <cell r="F474" t="str">
            <v>RS</v>
          </cell>
        </row>
        <row r="475">
          <cell r="B475" t="str">
            <v>N426</v>
          </cell>
          <cell r="C475" t="str">
            <v>AEROPORTO PRÉ-PLANEJADO EM SEDE DE UTP</v>
          </cell>
          <cell r="D475" t="str">
            <v>PR-012_4126009</v>
          </cell>
          <cell r="E475" t="str">
            <v>SÃO SEBASTIÃO DA AMOREIRA</v>
          </cell>
          <cell r="F475" t="str">
            <v>PR</v>
          </cell>
        </row>
        <row r="476">
          <cell r="B476" t="str">
            <v>N126</v>
          </cell>
          <cell r="C476" t="str">
            <v>AEROPORTO PRÉ-PLANEJADO EM SEDE DE UTP</v>
          </cell>
          <cell r="D476" t="str">
            <v>MA-007_2103307</v>
          </cell>
          <cell r="E476" t="str">
            <v>CODÓ</v>
          </cell>
          <cell r="F476" t="str">
            <v>MA</v>
          </cell>
        </row>
        <row r="477">
          <cell r="B477" t="str">
            <v>N567</v>
          </cell>
          <cell r="C477" t="str">
            <v>AEROPORTO PRÉ-PLANEJADO EM SEDE DE UTP</v>
          </cell>
          <cell r="D477" t="str">
            <v>BA-007_2906204</v>
          </cell>
          <cell r="E477" t="str">
            <v>CANARANA</v>
          </cell>
          <cell r="F477" t="str">
            <v>BA</v>
          </cell>
        </row>
        <row r="478">
          <cell r="B478" t="str">
            <v>SWUQ</v>
          </cell>
          <cell r="C478" t="str">
            <v>SURUCUCU</v>
          </cell>
          <cell r="D478" t="str">
            <v>RR0113_1400050</v>
          </cell>
          <cell r="E478" t="str">
            <v>ALTO ALEGRE</v>
          </cell>
          <cell r="F478" t="str">
            <v>RR</v>
          </cell>
        </row>
        <row r="479">
          <cell r="B479" t="str">
            <v>SSPN</v>
          </cell>
          <cell r="C479" t="str">
            <v>PARANAÍBA</v>
          </cell>
          <cell r="D479" t="str">
            <v>MS0010_5006309</v>
          </cell>
          <cell r="E479" t="str">
            <v>PARANAÍBA</v>
          </cell>
          <cell r="F479" t="str">
            <v>MS</v>
          </cell>
        </row>
        <row r="480">
          <cell r="B480" t="str">
            <v>SIBW</v>
          </cell>
          <cell r="C480" t="str">
            <v>CONCEIÇÃO</v>
          </cell>
          <cell r="D480" t="str">
            <v>PB0008_2504405</v>
          </cell>
          <cell r="E480" t="str">
            <v>CONCEIÇÃO</v>
          </cell>
          <cell r="F480" t="str">
            <v>PB</v>
          </cell>
        </row>
        <row r="481">
          <cell r="B481" t="str">
            <v>N325</v>
          </cell>
          <cell r="C481" t="str">
            <v>AEROPORTO PRÉ-PLANEJADO EM SEDE DE UTP</v>
          </cell>
          <cell r="D481" t="str">
            <v>SP-020_3536604</v>
          </cell>
          <cell r="E481" t="str">
            <v>PAULO DE FARIA</v>
          </cell>
          <cell r="F481" t="str">
            <v>SP</v>
          </cell>
        </row>
        <row r="482">
          <cell r="B482" t="str">
            <v>SJ73</v>
          </cell>
          <cell r="C482" t="str">
            <v>CASTELO DO PIAUÍ</v>
          </cell>
          <cell r="D482" t="str">
            <v>PI0069_2202604</v>
          </cell>
          <cell r="E482" t="str">
            <v>CASTELO DO PIAUÍ</v>
          </cell>
          <cell r="F482" t="str">
            <v>PI</v>
          </cell>
        </row>
        <row r="483">
          <cell r="B483" t="str">
            <v>N216</v>
          </cell>
          <cell r="C483" t="str">
            <v>AEROPORTO PRÉ-PLANEJADO EM SEDE DE UTP</v>
          </cell>
          <cell r="D483" t="str">
            <v>RJ-012_3302106</v>
          </cell>
          <cell r="E483" t="str">
            <v>ITAOCARA</v>
          </cell>
          <cell r="F483" t="str">
            <v>RJ</v>
          </cell>
        </row>
        <row r="484">
          <cell r="B484" t="str">
            <v>N106</v>
          </cell>
          <cell r="C484" t="str">
            <v>AEROPORTO PRÉ-PLANEJADO EM SEDE DE UTP</v>
          </cell>
          <cell r="D484" t="str">
            <v>SC-003_4203907</v>
          </cell>
          <cell r="E484" t="str">
            <v>CAPINZAL</v>
          </cell>
          <cell r="F484" t="str">
            <v>SC</v>
          </cell>
        </row>
        <row r="485">
          <cell r="B485" t="str">
            <v>N203</v>
          </cell>
          <cell r="C485" t="str">
            <v>AEROPORTO PRÉ-PLANEJADO EM SEDE DE UTP</v>
          </cell>
          <cell r="D485" t="str">
            <v>RS-020_4315107</v>
          </cell>
          <cell r="E485" t="str">
            <v>PORTO XAVIER</v>
          </cell>
          <cell r="F485" t="str">
            <v>RS</v>
          </cell>
        </row>
        <row r="486">
          <cell r="B486" t="str">
            <v>SSMR</v>
          </cell>
          <cell r="C486" t="str">
            <v>MANOEL RIBAS</v>
          </cell>
          <cell r="D486" t="str">
            <v>PR0026_4114500</v>
          </cell>
          <cell r="E486" t="str">
            <v>MANOEL RIBAS</v>
          </cell>
          <cell r="F486" t="str">
            <v>PR</v>
          </cell>
        </row>
        <row r="487">
          <cell r="B487" t="str">
            <v>N382</v>
          </cell>
          <cell r="C487" t="str">
            <v>AEROPORTO PRÉ-PLANEJADO EM SEDE DE UTP</v>
          </cell>
          <cell r="D487" t="str">
            <v>SP-022_3544202</v>
          </cell>
          <cell r="E487" t="str">
            <v>RIOLÂNDIA</v>
          </cell>
          <cell r="F487" t="str">
            <v>SP</v>
          </cell>
        </row>
        <row r="488">
          <cell r="B488" t="str">
            <v>SSIR</v>
          </cell>
          <cell r="C488" t="str">
            <v>IBIRUBÁ</v>
          </cell>
          <cell r="D488" t="str">
            <v>RS0049_4310009</v>
          </cell>
          <cell r="E488" t="str">
            <v>IBIRUBÁ</v>
          </cell>
          <cell r="F488" t="str">
            <v>RS</v>
          </cell>
        </row>
        <row r="489">
          <cell r="B489" t="str">
            <v>SSNQ</v>
          </cell>
          <cell r="C489" t="str">
            <v>NIOAQUE</v>
          </cell>
          <cell r="D489" t="str">
            <v>MS0016_5005806</v>
          </cell>
          <cell r="E489" t="str">
            <v>NIOAQUE</v>
          </cell>
          <cell r="F489" t="str">
            <v>MS</v>
          </cell>
        </row>
        <row r="490">
          <cell r="B490" t="str">
            <v>SNVD</v>
          </cell>
          <cell r="C490" t="str">
            <v>SANTA MARIA DA VITÓRIA</v>
          </cell>
          <cell r="D490" t="str">
            <v>BA0050_2928109</v>
          </cell>
          <cell r="E490" t="str">
            <v>SANTA MARIA DA VITÓRIA</v>
          </cell>
          <cell r="F490" t="str">
            <v>BA</v>
          </cell>
        </row>
        <row r="491">
          <cell r="B491" t="str">
            <v>SSHZ</v>
          </cell>
          <cell r="C491" t="str">
            <v>WALTER BÜNDCHEN</v>
          </cell>
          <cell r="D491" t="str">
            <v>RS0037_4309605</v>
          </cell>
          <cell r="E491" t="str">
            <v>HORIZONTINA</v>
          </cell>
          <cell r="F491" t="str">
            <v>RS</v>
          </cell>
        </row>
        <row r="492">
          <cell r="B492" t="str">
            <v>N408</v>
          </cell>
          <cell r="C492" t="str">
            <v>AEROPORTO PRÉ-PLANEJADO EM SEDE DE UTP</v>
          </cell>
          <cell r="D492" t="str">
            <v>PA-020_1507458</v>
          </cell>
          <cell r="E492" t="str">
            <v>SÃO GERALDO DO ARAGUAIA</v>
          </cell>
          <cell r="F492" t="str">
            <v>PA</v>
          </cell>
        </row>
        <row r="493">
          <cell r="B493" t="str">
            <v>SSST</v>
          </cell>
          <cell r="C493" t="str">
            <v>SANTIAGO</v>
          </cell>
          <cell r="D493" t="str">
            <v>RS0015_4317400</v>
          </cell>
          <cell r="E493" t="str">
            <v>SANTIAGO</v>
          </cell>
          <cell r="F493" t="str">
            <v>RS</v>
          </cell>
        </row>
        <row r="494">
          <cell r="B494" t="str">
            <v>SSQT</v>
          </cell>
          <cell r="C494" t="str">
            <v>MAJOR NEODO S. PEREIRA</v>
          </cell>
          <cell r="D494" t="str">
            <v>PR0013_4104907</v>
          </cell>
          <cell r="E494" t="str">
            <v>CASTRO</v>
          </cell>
          <cell r="F494" t="str">
            <v>PR</v>
          </cell>
        </row>
        <row r="495">
          <cell r="B495" t="str">
            <v>SNQG</v>
          </cell>
          <cell r="C495" t="str">
            <v>CANGAPARA</v>
          </cell>
          <cell r="D495" t="str">
            <v>PI0003_2203909</v>
          </cell>
          <cell r="E495" t="str">
            <v>FLORIANO</v>
          </cell>
          <cell r="F495" t="str">
            <v>PI</v>
          </cell>
        </row>
        <row r="496">
          <cell r="B496" t="str">
            <v>SJ7W</v>
          </cell>
          <cell r="C496" t="str">
            <v>VALENTE</v>
          </cell>
          <cell r="D496" t="str">
            <v>BA0060_2933000</v>
          </cell>
          <cell r="E496" t="str">
            <v>VALENTE</v>
          </cell>
          <cell r="F496" t="str">
            <v>BA</v>
          </cell>
        </row>
        <row r="497">
          <cell r="B497" t="str">
            <v>N609</v>
          </cell>
          <cell r="C497" t="str">
            <v>AEROPORTO PRÉ-PLANEJADO EM SEDE DE UTP</v>
          </cell>
          <cell r="D497" t="str">
            <v>SP-010_3518206</v>
          </cell>
          <cell r="E497" t="str">
            <v>GUARARAPES</v>
          </cell>
          <cell r="F497" t="str">
            <v>SP</v>
          </cell>
        </row>
        <row r="498">
          <cell r="B498" t="str">
            <v>N047</v>
          </cell>
          <cell r="C498" t="str">
            <v>AEROPORTO PRÉ-PLANEJADO EM SEDE DE UTP</v>
          </cell>
          <cell r="D498" t="str">
            <v>SP-004_3505302</v>
          </cell>
          <cell r="E498" t="str">
            <v>BARRA BONITA</v>
          </cell>
          <cell r="F498" t="str">
            <v>SP</v>
          </cell>
        </row>
        <row r="499">
          <cell r="B499" t="str">
            <v>N092</v>
          </cell>
          <cell r="C499" t="str">
            <v>AEROPORTO PRÉ-PLANEJADO EM SEDE DE UTP</v>
          </cell>
          <cell r="D499" t="str">
            <v>PA-008_1502103</v>
          </cell>
          <cell r="E499" t="str">
            <v>CAMETÁ</v>
          </cell>
          <cell r="F499" t="str">
            <v>PA</v>
          </cell>
        </row>
        <row r="500">
          <cell r="B500" t="str">
            <v>SSPS</v>
          </cell>
          <cell r="C500" t="str">
            <v>DIMORVAN CARRARO</v>
          </cell>
          <cell r="D500" t="str">
            <v>PR0036_4117602</v>
          </cell>
          <cell r="E500" t="str">
            <v>PALMAS</v>
          </cell>
          <cell r="F500" t="str">
            <v>PR</v>
          </cell>
        </row>
        <row r="501">
          <cell r="B501" t="str">
            <v>N937</v>
          </cell>
          <cell r="C501" t="str">
            <v>AEROPORTO PRÉ-PLANEJADO EM SEDE DE UTP</v>
          </cell>
          <cell r="D501" t="str">
            <v>GO-016_5219407</v>
          </cell>
          <cell r="E501" t="str">
            <v>SANTA RITA DO ARAGUAIA</v>
          </cell>
          <cell r="F501" t="str">
            <v>GO</v>
          </cell>
        </row>
        <row r="502">
          <cell r="B502" t="str">
            <v>SDPV</v>
          </cell>
          <cell r="C502" t="str">
            <v>PRESIDENTE VENCESLAU</v>
          </cell>
          <cell r="D502" t="str">
            <v>SP0040_3541505</v>
          </cell>
          <cell r="E502" t="str">
            <v>PRESIDENTE VENCESLAU</v>
          </cell>
          <cell r="F502" t="str">
            <v>SP</v>
          </cell>
        </row>
        <row r="503">
          <cell r="B503" t="str">
            <v>N850</v>
          </cell>
          <cell r="C503" t="str">
            <v>AEROPORTO PRÉ-PLANEJADO EM SEDE DE UTP</v>
          </cell>
          <cell r="D503" t="str">
            <v>MS-009_5007208</v>
          </cell>
          <cell r="E503" t="str">
            <v>RIO BRILHANTE</v>
          </cell>
          <cell r="F503" t="str">
            <v>MS</v>
          </cell>
        </row>
        <row r="504">
          <cell r="B504" t="str">
            <v>N531</v>
          </cell>
          <cell r="C504" t="str">
            <v>AEROPORTO PRÉ-PLANEJADO EM SEDE DE UTP</v>
          </cell>
          <cell r="D504" t="str">
            <v>MA-005_2102903</v>
          </cell>
          <cell r="E504" t="str">
            <v>CARUTAPERA</v>
          </cell>
          <cell r="F504" t="str">
            <v>MA</v>
          </cell>
        </row>
        <row r="505">
          <cell r="B505" t="str">
            <v>N288</v>
          </cell>
          <cell r="C505" t="str">
            <v>AEROPORTO PRÉ-PLANEJADO EM SEDE DE UTP</v>
          </cell>
          <cell r="D505" t="str">
            <v>MA-015_2107100</v>
          </cell>
          <cell r="E505" t="str">
            <v>MORROS</v>
          </cell>
          <cell r="F505" t="str">
            <v>MA</v>
          </cell>
        </row>
        <row r="506">
          <cell r="B506" t="str">
            <v>SWPB</v>
          </cell>
          <cell r="C506" t="str">
            <v>FORTE PRÍNCIPE DA BEIRA</v>
          </cell>
          <cell r="D506" t="str">
            <v>RO9001_1100080</v>
          </cell>
          <cell r="E506" t="str">
            <v>Costa Marques</v>
          </cell>
          <cell r="F506" t="str">
            <v>RO</v>
          </cell>
        </row>
        <row r="507">
          <cell r="B507" t="str">
            <v>N020</v>
          </cell>
          <cell r="C507" t="str">
            <v>AEROPORTO PRÉ-PLANEJADO EM SEDE DE UTP</v>
          </cell>
          <cell r="D507" t="str">
            <v>MS-003_5001102</v>
          </cell>
          <cell r="E507" t="str">
            <v>AQUIDAUANA</v>
          </cell>
          <cell r="F507" t="str">
            <v>MS</v>
          </cell>
        </row>
        <row r="508">
          <cell r="B508" t="str">
            <v>SNTY</v>
          </cell>
          <cell r="C508" t="str">
            <v>CORRENTINA</v>
          </cell>
          <cell r="D508" t="str">
            <v>BA0051_2909307</v>
          </cell>
          <cell r="E508" t="str">
            <v>CORRENTINA</v>
          </cell>
          <cell r="F508" t="str">
            <v>BA</v>
          </cell>
        </row>
        <row r="509">
          <cell r="B509" t="str">
            <v>SNIC</v>
          </cell>
          <cell r="C509" t="str">
            <v>IRECÊ</v>
          </cell>
          <cell r="D509" t="str">
            <v>BA0019_2914604</v>
          </cell>
          <cell r="E509" t="str">
            <v>IRECÊ</v>
          </cell>
          <cell r="F509" t="str">
            <v>BA</v>
          </cell>
        </row>
        <row r="510">
          <cell r="B510" t="str">
            <v>SWME</v>
          </cell>
          <cell r="C510" t="str">
            <v>MINEIROS</v>
          </cell>
          <cell r="D510" t="str">
            <v>GO0033_5213103</v>
          </cell>
          <cell r="E510" t="str">
            <v>MINEIROS</v>
          </cell>
          <cell r="F510" t="str">
            <v>GO</v>
          </cell>
        </row>
        <row r="511">
          <cell r="B511" t="str">
            <v>N326</v>
          </cell>
          <cell r="C511" t="str">
            <v>AEROPORTO PRÉ-PLANEJADO EM SEDE DE UTP</v>
          </cell>
          <cell r="D511" t="str">
            <v>MA-016_2108207</v>
          </cell>
          <cell r="E511" t="str">
            <v>PEDREIRAS</v>
          </cell>
          <cell r="F511" t="str">
            <v>MA</v>
          </cell>
        </row>
        <row r="512">
          <cell r="B512" t="str">
            <v>SWBS</v>
          </cell>
          <cell r="C512" t="str">
            <v>ROLIM DE MOURA</v>
          </cell>
          <cell r="D512" t="str">
            <v>RO0028_1100288</v>
          </cell>
          <cell r="E512" t="str">
            <v>ROLIM DE MOURA</v>
          </cell>
          <cell r="F512" t="str">
            <v>RO</v>
          </cell>
        </row>
        <row r="513">
          <cell r="B513" t="str">
            <v>SSBV</v>
          </cell>
          <cell r="C513" t="str">
            <v>BELA VISTA</v>
          </cell>
          <cell r="D513" t="str">
            <v>MS0011_5002100</v>
          </cell>
          <cell r="E513" t="str">
            <v>BELA VISTA</v>
          </cell>
          <cell r="F513" t="str">
            <v>MS</v>
          </cell>
        </row>
        <row r="514">
          <cell r="B514" t="str">
            <v>N232</v>
          </cell>
          <cell r="C514" t="str">
            <v>AEROPORTO PRÉ-PLANEJADO EM SEDE DE UTP</v>
          </cell>
          <cell r="D514" t="str">
            <v>PR-005_4112108</v>
          </cell>
          <cell r="E514" t="str">
            <v>JANDAIA DO SUL</v>
          </cell>
          <cell r="F514" t="str">
            <v>PR</v>
          </cell>
        </row>
        <row r="515">
          <cell r="B515" t="str">
            <v>N307</v>
          </cell>
          <cell r="C515" t="str">
            <v>AEROPORTO PRÉ-PLANEJADO EM SEDE DE UTP</v>
          </cell>
          <cell r="D515" t="str">
            <v>PR-009_4118105</v>
          </cell>
          <cell r="E515" t="str">
            <v>PARANACITY</v>
          </cell>
          <cell r="F515" t="str">
            <v>PR</v>
          </cell>
        </row>
        <row r="516">
          <cell r="B516" t="str">
            <v>SWJW</v>
          </cell>
          <cell r="C516" t="str">
            <v>JATAÍ</v>
          </cell>
          <cell r="D516" t="str">
            <v>GO0008_5211909</v>
          </cell>
          <cell r="E516" t="str">
            <v>JATAÍ</v>
          </cell>
          <cell r="F516" t="str">
            <v>GO</v>
          </cell>
        </row>
        <row r="517">
          <cell r="B517" t="str">
            <v>SNZW</v>
          </cell>
          <cell r="C517" t="str">
            <v>DE ITUBERA</v>
          </cell>
          <cell r="D517" t="str">
            <v>BA0063_2917300</v>
          </cell>
          <cell r="E517" t="str">
            <v>ITUBERÁ</v>
          </cell>
          <cell r="F517" t="str">
            <v>BA</v>
          </cell>
        </row>
        <row r="518">
          <cell r="B518" t="str">
            <v>SWXV</v>
          </cell>
          <cell r="C518" t="str">
            <v>NOVA XAVANTINA</v>
          </cell>
          <cell r="D518" t="str">
            <v>MT0013_5106257</v>
          </cell>
          <cell r="E518" t="str">
            <v>NOVA XAVANTINA</v>
          </cell>
          <cell r="F518" t="str">
            <v>MT</v>
          </cell>
        </row>
        <row r="519">
          <cell r="B519" t="str">
            <v>N296</v>
          </cell>
          <cell r="C519" t="str">
            <v>AEROPORTO PRÉ-PLANEJADO EM SEDE DE UTP</v>
          </cell>
          <cell r="D519" t="str">
            <v>SP-019_3533007</v>
          </cell>
          <cell r="E519" t="str">
            <v>NOVA GRANADA</v>
          </cell>
          <cell r="F519" t="str">
            <v>SP</v>
          </cell>
        </row>
        <row r="520">
          <cell r="B520" t="str">
            <v>N877</v>
          </cell>
          <cell r="C520" t="str">
            <v>AEROPORTO PRÉ-PLANEJADO EM SEDE DE UTP</v>
          </cell>
          <cell r="D520" t="str">
            <v>MT-006_5106000</v>
          </cell>
          <cell r="E520" t="str">
            <v>NORTELÂNDIA</v>
          </cell>
          <cell r="F520" t="str">
            <v>MT</v>
          </cell>
        </row>
        <row r="521">
          <cell r="B521" t="str">
            <v>N899</v>
          </cell>
          <cell r="C521" t="str">
            <v>AEROPORTO PRÉ-PLANEJADO EM SEDE DE UTP</v>
          </cell>
          <cell r="D521" t="str">
            <v>SP-012_3520400</v>
          </cell>
          <cell r="E521" t="str">
            <v>ILHABELA</v>
          </cell>
          <cell r="F521" t="str">
            <v>SP</v>
          </cell>
        </row>
        <row r="522">
          <cell r="B522" t="str">
            <v>N028</v>
          </cell>
          <cell r="C522" t="str">
            <v>AEROPORTO PRÉ-PLANEJADO EM SEDE DE UTP</v>
          </cell>
          <cell r="D522" t="str">
            <v>SC-001_4201406</v>
          </cell>
          <cell r="E522" t="str">
            <v>ARARANGUÁ</v>
          </cell>
          <cell r="F522" t="str">
            <v>SC</v>
          </cell>
        </row>
        <row r="523">
          <cell r="B523" t="str">
            <v>SNNU</v>
          </cell>
          <cell r="C523" t="str">
            <v>NANUQUE</v>
          </cell>
          <cell r="D523" t="str">
            <v>MG0041_3144300</v>
          </cell>
          <cell r="E523" t="str">
            <v>NANUQUE</v>
          </cell>
          <cell r="F523" t="str">
            <v>MG</v>
          </cell>
        </row>
        <row r="524">
          <cell r="B524" t="str">
            <v>SNXA</v>
          </cell>
          <cell r="C524" t="str">
            <v>BRIGADEIRO SAMPAIO</v>
          </cell>
          <cell r="D524" t="str">
            <v>CE0132_2313203</v>
          </cell>
          <cell r="E524" t="str">
            <v>TAMBORIL</v>
          </cell>
          <cell r="F524" t="str">
            <v>CE</v>
          </cell>
        </row>
        <row r="525">
          <cell r="B525" t="str">
            <v>N278</v>
          </cell>
          <cell r="C525" t="str">
            <v>AEROPORTO PRÉ-PLANEJADO EM SEDE DE UTP</v>
          </cell>
          <cell r="D525" t="str">
            <v>PE-005_2606606</v>
          </cell>
          <cell r="E525" t="str">
            <v>IBIMIRIM</v>
          </cell>
          <cell r="F525" t="str">
            <v>PE</v>
          </cell>
        </row>
        <row r="526">
          <cell r="B526" t="str">
            <v>N170</v>
          </cell>
          <cell r="C526" t="str">
            <v>AEROPORTO PRÉ-PLANEJADO EM SEDE DE UTP</v>
          </cell>
          <cell r="D526" t="str">
            <v>MA-009_2103505</v>
          </cell>
          <cell r="E526" t="str">
            <v>COLINAS</v>
          </cell>
          <cell r="F526" t="str">
            <v>MA</v>
          </cell>
        </row>
        <row r="527">
          <cell r="B527" t="str">
            <v>N161</v>
          </cell>
          <cell r="C527" t="str">
            <v>AEROPORTO PRÉ-PLANEJADO EM SEDE DE UTP</v>
          </cell>
          <cell r="D527" t="str">
            <v>RS-010_4308904</v>
          </cell>
          <cell r="E527" t="str">
            <v>GETÚLIO VARGAS</v>
          </cell>
          <cell r="F527" t="str">
            <v>RS</v>
          </cell>
        </row>
        <row r="528">
          <cell r="B528" t="str">
            <v>N311</v>
          </cell>
          <cell r="C528" t="str">
            <v>AEROPORTO PRÉ-PLANEJADO EM SEDE DE UTP</v>
          </cell>
          <cell r="D528" t="str">
            <v>BA-003_2904100</v>
          </cell>
          <cell r="E528" t="str">
            <v>BOQUIRA</v>
          </cell>
          <cell r="F528" t="str">
            <v>BA</v>
          </cell>
        </row>
        <row r="529">
          <cell r="B529" t="str">
            <v>SDEP</v>
          </cell>
          <cell r="C529" t="str">
            <v>GERALDO MOACIR BORDON</v>
          </cell>
          <cell r="D529" t="str">
            <v>SP0052_3541307</v>
          </cell>
          <cell r="E529" t="str">
            <v>PRESIDENTE EPITÁCIO</v>
          </cell>
          <cell r="F529" t="str">
            <v>SP</v>
          </cell>
        </row>
        <row r="530">
          <cell r="B530" t="str">
            <v>N583</v>
          </cell>
          <cell r="C530" t="str">
            <v>AEROPORTO PRÉ-PLANEJADO EM SEDE DE UTP</v>
          </cell>
          <cell r="D530" t="str">
            <v>PR-004_4105102</v>
          </cell>
          <cell r="E530" t="str">
            <v>CENTENÁRIO DO SUL</v>
          </cell>
          <cell r="F530" t="str">
            <v>PR</v>
          </cell>
        </row>
        <row r="531">
          <cell r="B531" t="str">
            <v>N487</v>
          </cell>
          <cell r="C531" t="str">
            <v>AEROPORTO PRÉ-PLANEJADO EM SEDE DE UTP</v>
          </cell>
          <cell r="D531" t="str">
            <v>PE-002_2600203</v>
          </cell>
          <cell r="E531" t="str">
            <v>AFRÂNIO</v>
          </cell>
          <cell r="F531" t="str">
            <v>PE</v>
          </cell>
        </row>
        <row r="532">
          <cell r="B532" t="str">
            <v>N128</v>
          </cell>
          <cell r="C532" t="str">
            <v>AEROPORTO PRÉ-PLANEJADO EM SEDE DE UTP</v>
          </cell>
          <cell r="D532" t="str">
            <v>PA-018_1506708</v>
          </cell>
          <cell r="E532" t="str">
            <v>SANTANA DO ARAGUAIA</v>
          </cell>
          <cell r="F532" t="str">
            <v>PA</v>
          </cell>
        </row>
        <row r="533">
          <cell r="B533" t="str">
            <v>SNXX</v>
          </cell>
          <cell r="C533" t="str">
            <v>MAXARANGUAPE</v>
          </cell>
          <cell r="D533" t="str">
            <v>RN9002_2407500</v>
          </cell>
          <cell r="E533" t="str">
            <v>Maxaranguape</v>
          </cell>
          <cell r="F533" t="str">
            <v>RN</v>
          </cell>
        </row>
        <row r="534">
          <cell r="B534" t="str">
            <v>N388</v>
          </cell>
          <cell r="C534" t="str">
            <v>AEROPORTO PRÉ-PLANEJADO EM SEDE DE UTP</v>
          </cell>
          <cell r="D534" t="str">
            <v>SP-024_3546603</v>
          </cell>
          <cell r="E534" t="str">
            <v>SANTA FÉ DO SUL</v>
          </cell>
          <cell r="F534" t="str">
            <v>SP</v>
          </cell>
        </row>
        <row r="535">
          <cell r="B535" t="str">
            <v>SWCD</v>
          </cell>
          <cell r="C535" t="str">
            <v>COLIDER</v>
          </cell>
          <cell r="D535" t="str">
            <v>MT0330_5103205</v>
          </cell>
          <cell r="E535" t="str">
            <v>COLÍDER</v>
          </cell>
          <cell r="F535" t="str">
            <v>MT</v>
          </cell>
        </row>
        <row r="536">
          <cell r="B536" t="str">
            <v>N211</v>
          </cell>
          <cell r="C536" t="str">
            <v>AEROPORTO PRÉ-PLANEJADO EM SEDE DE UTP</v>
          </cell>
          <cell r="D536" t="str">
            <v>MG-013_3131703</v>
          </cell>
          <cell r="E536" t="str">
            <v>ITABIRA</v>
          </cell>
          <cell r="F536" t="str">
            <v>MG</v>
          </cell>
        </row>
        <row r="537">
          <cell r="B537" t="str">
            <v>N360</v>
          </cell>
          <cell r="C537" t="str">
            <v>AEROPORTO PRÉ-PLANEJADO EM SEDE DE UTP</v>
          </cell>
          <cell r="D537" t="str">
            <v>BA-018_2919801</v>
          </cell>
          <cell r="E537" t="str">
            <v>MACAÚBAS</v>
          </cell>
          <cell r="F537" t="str">
            <v>BA</v>
          </cell>
        </row>
        <row r="538">
          <cell r="B538" t="str">
            <v>N884</v>
          </cell>
          <cell r="C538" t="str">
            <v>AEROPORTO PRÉ-PLANEJADO EM SEDE DE UTP</v>
          </cell>
          <cell r="D538" t="str">
            <v>PI-006_2211407</v>
          </cell>
          <cell r="E538" t="str">
            <v>VÁRZEA GRANDE</v>
          </cell>
          <cell r="F538" t="str">
            <v>PI</v>
          </cell>
        </row>
        <row r="539">
          <cell r="B539" t="str">
            <v>SWPK</v>
          </cell>
          <cell r="C539" t="str">
            <v>POCONÉ</v>
          </cell>
          <cell r="D539" t="str">
            <v>MT0021_5106505</v>
          </cell>
          <cell r="E539" t="str">
            <v>POCONÉ</v>
          </cell>
          <cell r="F539" t="str">
            <v>MT</v>
          </cell>
        </row>
        <row r="540">
          <cell r="B540" t="str">
            <v>SDDN</v>
          </cell>
          <cell r="C540" t="str">
            <v>PAULINO RIBEIRO DE ANDRADE</v>
          </cell>
          <cell r="D540" t="str">
            <v>SP0020_3502101</v>
          </cell>
          <cell r="E540" t="str">
            <v>ANDRADINA</v>
          </cell>
          <cell r="F540" t="str">
            <v>SP</v>
          </cell>
        </row>
        <row r="541">
          <cell r="B541" t="str">
            <v>N134</v>
          </cell>
          <cell r="C541" t="str">
            <v>AEROPORTO PRÉ-PLANEJADO FORA DE SEDE DE UTP</v>
          </cell>
          <cell r="D541" t="str">
            <v>MG-024_3146107</v>
          </cell>
          <cell r="E541" t="str">
            <v>OURO PRETO</v>
          </cell>
          <cell r="F541" t="str">
            <v>MG</v>
          </cell>
        </row>
        <row r="542">
          <cell r="B542" t="str">
            <v>SBIT</v>
          </cell>
          <cell r="C542" t="str">
            <v>HIDRELÉTRICA DE ITUMBIARA</v>
          </cell>
          <cell r="D542" t="str">
            <v>GO0035_5211503</v>
          </cell>
          <cell r="E542" t="str">
            <v>ITUMBIARA</v>
          </cell>
          <cell r="F542" t="str">
            <v>GO</v>
          </cell>
        </row>
        <row r="543">
          <cell r="B543" t="str">
            <v>SDAD</v>
          </cell>
          <cell r="C543" t="str">
            <v>EVERALDO MORAES BARRETO</v>
          </cell>
          <cell r="D543" t="str">
            <v>SP0046_3500105</v>
          </cell>
          <cell r="E543" t="str">
            <v>ADAMANTINA</v>
          </cell>
          <cell r="F543" t="str">
            <v>SP</v>
          </cell>
        </row>
        <row r="544">
          <cell r="B544" t="str">
            <v>N169</v>
          </cell>
          <cell r="C544" t="str">
            <v>AEROPORTO PRÉ-PLANEJADO EM SEDE DE UTP</v>
          </cell>
          <cell r="D544" t="str">
            <v>MA-008_2103406</v>
          </cell>
          <cell r="E544" t="str">
            <v>COELHO NETO</v>
          </cell>
          <cell r="F544" t="str">
            <v>MA</v>
          </cell>
        </row>
        <row r="545">
          <cell r="B545" t="str">
            <v>SJ2Y</v>
          </cell>
          <cell r="C545" t="str">
            <v>AEROCLUBE DE LUCÉLIA - CMTE JOÃO POSSIBOM</v>
          </cell>
          <cell r="D545" t="str">
            <v>SP0039_3527405</v>
          </cell>
          <cell r="E545" t="str">
            <v>LUCÉLIA</v>
          </cell>
          <cell r="F545" t="str">
            <v>SP</v>
          </cell>
        </row>
        <row r="546">
          <cell r="B546" t="str">
            <v>SDJL</v>
          </cell>
          <cell r="C546" t="str">
            <v>JALES</v>
          </cell>
          <cell r="D546" t="str">
            <v>SP0113_3524808</v>
          </cell>
          <cell r="E546" t="str">
            <v>JALES</v>
          </cell>
          <cell r="F546" t="str">
            <v>SP</v>
          </cell>
        </row>
        <row r="547">
          <cell r="B547" t="str">
            <v>N509</v>
          </cell>
          <cell r="C547" t="str">
            <v>AEROPORTO PRÉ-PLANEJADO FORA DE SEDE DE UTP</v>
          </cell>
          <cell r="D547" t="str">
            <v>MG-032_3156908</v>
          </cell>
          <cell r="E547" t="str">
            <v>SACRAMENTO</v>
          </cell>
          <cell r="F547" t="str">
            <v>MG</v>
          </cell>
        </row>
        <row r="548">
          <cell r="B548" t="str">
            <v>SSAN</v>
          </cell>
          <cell r="C548" t="str">
            <v>JOÃO GALDINO</v>
          </cell>
          <cell r="D548" t="str">
            <v>PR0032_4101101</v>
          </cell>
          <cell r="E548" t="str">
            <v>ANDIRÁ</v>
          </cell>
          <cell r="F548" t="str">
            <v>PR</v>
          </cell>
        </row>
        <row r="549">
          <cell r="B549" t="str">
            <v>N036</v>
          </cell>
          <cell r="C549" t="str">
            <v>AEROPORTO PRÉ-PLANEJADO EM SEDE DE UTP</v>
          </cell>
          <cell r="D549" t="str">
            <v>RJ-010_3300209</v>
          </cell>
          <cell r="E549" t="str">
            <v>ARARUAMA</v>
          </cell>
          <cell r="F549" t="str">
            <v>RJ</v>
          </cell>
        </row>
        <row r="550">
          <cell r="B550" t="str">
            <v>N656</v>
          </cell>
          <cell r="C550" t="str">
            <v>AEROPORTO PRÉ-PLANEJADO EM SEDE DE UTP</v>
          </cell>
          <cell r="D550" t="str">
            <v>MS-007_5004304</v>
          </cell>
          <cell r="E550" t="str">
            <v>IGUATEMI</v>
          </cell>
          <cell r="F550" t="str">
            <v>MS</v>
          </cell>
        </row>
        <row r="551">
          <cell r="B551" t="str">
            <v>SSJI</v>
          </cell>
          <cell r="C551" t="str">
            <v>JARDIM</v>
          </cell>
          <cell r="D551" t="str">
            <v>MS0019_5005004</v>
          </cell>
          <cell r="E551" t="str">
            <v>JARDIM</v>
          </cell>
          <cell r="F551" t="str">
            <v>MS</v>
          </cell>
        </row>
        <row r="552">
          <cell r="B552" t="str">
            <v>N726</v>
          </cell>
          <cell r="C552" t="str">
            <v>AEROPORTO PRÉ-PLANEJADO EM SEDE DE UTP</v>
          </cell>
          <cell r="D552" t="str">
            <v>SC-004_4205001</v>
          </cell>
          <cell r="E552" t="str">
            <v>DIONÍSIO CERQUEIRA</v>
          </cell>
          <cell r="F552" t="str">
            <v>SC</v>
          </cell>
        </row>
        <row r="553">
          <cell r="B553" t="str">
            <v>N435</v>
          </cell>
          <cell r="C553" t="str">
            <v>AEROPORTO PRÉ-PLANEJADO EM SEDE DE UTP</v>
          </cell>
          <cell r="D553" t="str">
            <v>SC-017_4217709</v>
          </cell>
          <cell r="E553" t="str">
            <v>SOMBRIO</v>
          </cell>
          <cell r="F553" t="str">
            <v>SC</v>
          </cell>
        </row>
        <row r="554">
          <cell r="B554" t="str">
            <v>SDPE</v>
          </cell>
          <cell r="C554" t="str">
            <v>PORTO NACIONAL</v>
          </cell>
          <cell r="D554" t="str">
            <v>TO0003_1718204</v>
          </cell>
          <cell r="E554" t="str">
            <v>PORTO NACIONAL</v>
          </cell>
          <cell r="F554" t="str">
            <v>TO</v>
          </cell>
        </row>
        <row r="555">
          <cell r="B555" t="str">
            <v>N761</v>
          </cell>
          <cell r="C555" t="str">
            <v>AEROPORTO PRÉ-PLANEJADO EM SEDE DE UTP</v>
          </cell>
          <cell r="D555" t="str">
            <v>RS-008_4306908</v>
          </cell>
          <cell r="E555" t="str">
            <v>ENCRUZILHADA DO SUL</v>
          </cell>
          <cell r="F555" t="str">
            <v>RS</v>
          </cell>
        </row>
        <row r="556">
          <cell r="B556" t="str">
            <v>SDMH</v>
          </cell>
          <cell r="C556" t="str">
            <v>MIRASSOL</v>
          </cell>
          <cell r="D556" t="str">
            <v>SP0059_3530300</v>
          </cell>
          <cell r="E556" t="str">
            <v>MIRASSOL</v>
          </cell>
          <cell r="F556" t="str">
            <v>SP</v>
          </cell>
        </row>
        <row r="557">
          <cell r="B557" t="str">
            <v>SSLG</v>
          </cell>
          <cell r="C557" t="str">
            <v>SÃO LUIZ GONZAGA</v>
          </cell>
          <cell r="D557" t="str">
            <v>RS0021_4318903</v>
          </cell>
          <cell r="E557" t="str">
            <v>SÃO LUIZ GONZAGA</v>
          </cell>
          <cell r="F557" t="str">
            <v>RS</v>
          </cell>
        </row>
        <row r="558">
          <cell r="B558" t="str">
            <v>SSAK</v>
          </cell>
          <cell r="C558" t="str">
            <v>CARLOS RUHL</v>
          </cell>
          <cell r="D558" t="str">
            <v>RS0048_4306106</v>
          </cell>
          <cell r="E558" t="str">
            <v>CRUZ ALTA</v>
          </cell>
          <cell r="F558" t="str">
            <v>RS</v>
          </cell>
        </row>
        <row r="559">
          <cell r="B559" t="str">
            <v>SSJA</v>
          </cell>
          <cell r="C559" t="str">
            <v>SANTA TEREZINHA</v>
          </cell>
          <cell r="D559" t="str">
            <v>SC0014_4209003</v>
          </cell>
          <cell r="E559" t="str">
            <v>JOAÇABA</v>
          </cell>
          <cell r="F559" t="str">
            <v>SC</v>
          </cell>
        </row>
        <row r="560">
          <cell r="B560" t="str">
            <v>N160</v>
          </cell>
          <cell r="C560" t="str">
            <v>AEROPORTO PRÉ-PLANEJADO EM SEDE DE UTP</v>
          </cell>
          <cell r="D560" t="str">
            <v>SP-009_3516804</v>
          </cell>
          <cell r="E560" t="str">
            <v>GASTÃO VIDIGAL</v>
          </cell>
          <cell r="F560" t="str">
            <v>SP</v>
          </cell>
        </row>
        <row r="561">
          <cell r="B561" t="str">
            <v>SNKI</v>
          </cell>
          <cell r="C561" t="str">
            <v>AERÓDROMO DE CACHOEIRO DE ITAPEMIRIM</v>
          </cell>
          <cell r="D561" t="str">
            <v>ES0006_3201209</v>
          </cell>
          <cell r="E561" t="str">
            <v>CACHOEIRO DE ITAPEMIRIM</v>
          </cell>
          <cell r="F561" t="str">
            <v>ES</v>
          </cell>
        </row>
        <row r="562">
          <cell r="B562" t="str">
            <v>N511</v>
          </cell>
          <cell r="C562" t="str">
            <v>AEROPORTO PRÉ-PLANEJADO FORA DE SEDE DE UTP</v>
          </cell>
          <cell r="D562" t="str">
            <v>MG-033_3156908</v>
          </cell>
          <cell r="E562" t="str">
            <v>SACRAMENTO</v>
          </cell>
          <cell r="F562" t="str">
            <v>MG</v>
          </cell>
        </row>
        <row r="563">
          <cell r="B563" t="str">
            <v>N735</v>
          </cell>
          <cell r="C563" t="str">
            <v>AEROPORTO PRÉ-PLANEJADO EM SEDE DE UTP</v>
          </cell>
          <cell r="D563" t="str">
            <v>SC-011_4210100</v>
          </cell>
          <cell r="E563" t="str">
            <v>MAFRA</v>
          </cell>
          <cell r="F563" t="str">
            <v>SC</v>
          </cell>
        </row>
        <row r="564">
          <cell r="B564" t="str">
            <v>N339</v>
          </cell>
          <cell r="C564" t="str">
            <v>AEROPORTO PRÉ-PLANEJADO EM SEDE DE UTP</v>
          </cell>
          <cell r="D564" t="str">
            <v>SC-006_4207601</v>
          </cell>
          <cell r="E564" t="str">
            <v>IPIRA</v>
          </cell>
          <cell r="F564" t="str">
            <v>SC</v>
          </cell>
        </row>
        <row r="565">
          <cell r="B565" t="str">
            <v>SNAE</v>
          </cell>
          <cell r="C565" t="str">
            <v>ARCOVERDE</v>
          </cell>
          <cell r="D565" t="str">
            <v>PE0007_2601201</v>
          </cell>
          <cell r="E565" t="str">
            <v>ARCOVERDE</v>
          </cell>
          <cell r="F565" t="str">
            <v>PE</v>
          </cell>
        </row>
        <row r="566">
          <cell r="B566" t="str">
            <v>SDSC</v>
          </cell>
          <cell r="C566" t="str">
            <v>MÁRIO PEREIRA LOPES</v>
          </cell>
          <cell r="D566" t="str">
            <v>SP0029_3548906</v>
          </cell>
          <cell r="E566" t="str">
            <v>SÃO CARLOS</v>
          </cell>
          <cell r="F566" t="str">
            <v>SP</v>
          </cell>
        </row>
        <row r="567">
          <cell r="B567" t="str">
            <v>SJAU</v>
          </cell>
          <cell r="C567" t="str">
            <v>ARAGUACEMA</v>
          </cell>
          <cell r="D567" t="str">
            <v>TO0007_1701903</v>
          </cell>
          <cell r="E567" t="str">
            <v>ARAGUACEMA</v>
          </cell>
          <cell r="F567" t="str">
            <v>TO</v>
          </cell>
        </row>
        <row r="568">
          <cell r="B568" t="str">
            <v>SNRX</v>
          </cell>
          <cell r="C568" t="str">
            <v>RIACHÃO</v>
          </cell>
          <cell r="D568" t="str">
            <v>MA0009_2109502</v>
          </cell>
          <cell r="E568" t="str">
            <v>RIACHÃO</v>
          </cell>
          <cell r="F568" t="str">
            <v>MA</v>
          </cell>
        </row>
        <row r="569">
          <cell r="B569" t="str">
            <v>SNIP</v>
          </cell>
          <cell r="C569" t="str">
            <v>ITAPETINGA</v>
          </cell>
          <cell r="D569" t="str">
            <v>BA0057_2916401</v>
          </cell>
          <cell r="E569" t="str">
            <v>ITAPETINGA</v>
          </cell>
          <cell r="F569" t="str">
            <v>BA</v>
          </cell>
        </row>
        <row r="570">
          <cell r="B570" t="str">
            <v>SSNP</v>
          </cell>
          <cell r="C570" t="str">
            <v>ILMO ALOÍSIO BLUME</v>
          </cell>
          <cell r="D570" t="str">
            <v>RS0041_4313300</v>
          </cell>
          <cell r="E570" t="str">
            <v>NOVA PRATA</v>
          </cell>
          <cell r="F570" t="str">
            <v>RS</v>
          </cell>
        </row>
        <row r="571">
          <cell r="B571" t="str">
            <v>N679</v>
          </cell>
          <cell r="C571" t="str">
            <v>AEROPORTO PRÉ-PLANEJADO EM SEDE DE UTP</v>
          </cell>
          <cell r="D571" t="str">
            <v>PR-003_4102406</v>
          </cell>
          <cell r="E571" t="str">
            <v>BANDEIRANTES</v>
          </cell>
          <cell r="F571" t="str">
            <v>PR</v>
          </cell>
        </row>
        <row r="572">
          <cell r="B572" t="str">
            <v>SDUN</v>
          </cell>
          <cell r="C572" t="str">
            <v>ITAPERUNA</v>
          </cell>
          <cell r="D572" t="str">
            <v>RJ0008_3302205</v>
          </cell>
          <cell r="E572" t="str">
            <v>ITAPERUNA</v>
          </cell>
          <cell r="F572" t="str">
            <v>RJ</v>
          </cell>
        </row>
        <row r="573">
          <cell r="B573" t="str">
            <v>N285</v>
          </cell>
          <cell r="C573" t="str">
            <v>AEROPORTO PRÉ-PLANEJADO EM SEDE DE UTP</v>
          </cell>
          <cell r="D573" t="str">
            <v>TO-010_1713205</v>
          </cell>
          <cell r="E573" t="str">
            <v>MIRACEMA DO TOCANTINS</v>
          </cell>
          <cell r="F573" t="str">
            <v>TO</v>
          </cell>
        </row>
        <row r="574">
          <cell r="B574" t="str">
            <v>SDC9</v>
          </cell>
          <cell r="C574" t="str">
            <v>TOCANTINÓPOLIS</v>
          </cell>
          <cell r="D574" t="str">
            <v>TO0095_1721208</v>
          </cell>
          <cell r="E574" t="str">
            <v>TOCANTINÓPOLIS</v>
          </cell>
          <cell r="F574" t="str">
            <v>TO</v>
          </cell>
        </row>
        <row r="575">
          <cell r="B575" t="str">
            <v>SNUB</v>
          </cell>
          <cell r="C575" t="str">
            <v>UBÁ</v>
          </cell>
          <cell r="D575" t="str">
            <v>MG0058_3169901</v>
          </cell>
          <cell r="E575" t="str">
            <v>UBÁ</v>
          </cell>
          <cell r="F575" t="str">
            <v>MG</v>
          </cell>
        </row>
        <row r="576">
          <cell r="B576" t="str">
            <v>N291</v>
          </cell>
          <cell r="C576" t="str">
            <v>AEROPORTO PRÉ-PLANEJADO EM SEDE DE UTP</v>
          </cell>
          <cell r="D576" t="str">
            <v>CE-006_2307601</v>
          </cell>
          <cell r="E576" t="str">
            <v>LIMOEIRO DO NORTE</v>
          </cell>
          <cell r="F576" t="str">
            <v>CE</v>
          </cell>
        </row>
        <row r="577">
          <cell r="B577" t="str">
            <v>SSCK</v>
          </cell>
          <cell r="C577" t="str">
            <v>OLAVO CECCO RIGON</v>
          </cell>
          <cell r="D577" t="str">
            <v>SC0010_4204301</v>
          </cell>
          <cell r="E577" t="str">
            <v>CONCÓRDIA</v>
          </cell>
          <cell r="F577" t="str">
            <v>SC</v>
          </cell>
        </row>
        <row r="578">
          <cell r="B578" t="str">
            <v>N905</v>
          </cell>
          <cell r="C578" t="str">
            <v>AEROPORTO PRÉ-PLANEJADO EM SEDE DE UTP</v>
          </cell>
          <cell r="D578" t="str">
            <v>RN-005_2409332</v>
          </cell>
          <cell r="E578" t="str">
            <v>SANTA MARIA</v>
          </cell>
          <cell r="F578" t="str">
            <v>RN</v>
          </cell>
        </row>
        <row r="579">
          <cell r="B579" t="str">
            <v>SBYA</v>
          </cell>
          <cell r="C579" t="str">
            <v>IAUARETÊ</v>
          </cell>
          <cell r="D579" t="str">
            <v>AM9005_1303809</v>
          </cell>
          <cell r="E579" t="str">
            <v>São Gabriel da Cachoeira</v>
          </cell>
          <cell r="F579" t="str">
            <v>AM</v>
          </cell>
        </row>
        <row r="580">
          <cell r="B580" t="str">
            <v>SSMJ</v>
          </cell>
          <cell r="C580" t="str">
            <v>MARACAJU</v>
          </cell>
          <cell r="D580" t="str">
            <v>MS0020_5005400</v>
          </cell>
          <cell r="E580" t="str">
            <v>MARACAJU</v>
          </cell>
          <cell r="F580" t="str">
            <v>MS</v>
          </cell>
        </row>
        <row r="581">
          <cell r="B581" t="str">
            <v>SWTO</v>
          </cell>
          <cell r="C581" t="str">
            <v>PARAÍSO DO TOCANTINS</v>
          </cell>
          <cell r="D581" t="str">
            <v>TO0008_1716109</v>
          </cell>
          <cell r="E581" t="str">
            <v>PARAÍSO DO TOCANTINS</v>
          </cell>
          <cell r="F581" t="str">
            <v>TO</v>
          </cell>
        </row>
        <row r="582">
          <cell r="B582" t="str">
            <v>SSSD</v>
          </cell>
          <cell r="C582" t="str">
            <v>SOLEDADE</v>
          </cell>
          <cell r="D582" t="str">
            <v>RS0017_4320800</v>
          </cell>
          <cell r="E582" t="str">
            <v>SOLEDADE</v>
          </cell>
          <cell r="F582" t="str">
            <v>RS</v>
          </cell>
        </row>
        <row r="583">
          <cell r="B583" t="str">
            <v>N215</v>
          </cell>
          <cell r="C583" t="str">
            <v>AEROPORTO PRÉ-PLANEJADO EM SEDE DE UTP</v>
          </cell>
          <cell r="D583" t="str">
            <v>PE-006_2607653</v>
          </cell>
          <cell r="E583" t="str">
            <v>ITAMBÉ</v>
          </cell>
          <cell r="F583" t="str">
            <v>PE</v>
          </cell>
        </row>
        <row r="584">
          <cell r="B584" t="str">
            <v>N853</v>
          </cell>
          <cell r="C584" t="str">
            <v>AEROPORTO PRÉ-PLANEJADO EM SEDE DE UTP</v>
          </cell>
          <cell r="D584" t="str">
            <v>MA-019_2111805</v>
          </cell>
          <cell r="E584" t="str">
            <v>SÍTIO NOVO</v>
          </cell>
          <cell r="F584" t="str">
            <v>MA</v>
          </cell>
        </row>
        <row r="585">
          <cell r="B585" t="str">
            <v>SD6P</v>
          </cell>
          <cell r="C585" t="str">
            <v>DE BELMONTE</v>
          </cell>
          <cell r="D585" t="str">
            <v>BA0041_2903409</v>
          </cell>
          <cell r="E585" t="str">
            <v>BELMONTE</v>
          </cell>
          <cell r="F585" t="str">
            <v>BA</v>
          </cell>
        </row>
        <row r="586">
          <cell r="B586" t="str">
            <v>N597</v>
          </cell>
          <cell r="C586" t="str">
            <v>AEROPORTO PRÉ-PLANEJADO EM SEDE DE UTP</v>
          </cell>
          <cell r="D586" t="str">
            <v>TO-004_1705508</v>
          </cell>
          <cell r="E586" t="str">
            <v>COLINAS DO TOCANTINS</v>
          </cell>
          <cell r="F586" t="str">
            <v>TO</v>
          </cell>
        </row>
        <row r="587">
          <cell r="B587" t="str">
            <v>N228</v>
          </cell>
          <cell r="C587" t="str">
            <v>AEROPORTO PRÉ-PLANEJADO EM SEDE DE UTP</v>
          </cell>
          <cell r="D587" t="str">
            <v>MT-003_5104807</v>
          </cell>
          <cell r="E587" t="str">
            <v>JACIARA</v>
          </cell>
          <cell r="F587" t="str">
            <v>MT</v>
          </cell>
        </row>
        <row r="588">
          <cell r="B588" t="str">
            <v>SSIJ</v>
          </cell>
          <cell r="C588" t="str">
            <v>IJUÍ</v>
          </cell>
          <cell r="D588" t="str">
            <v>RS0032_4310207</v>
          </cell>
          <cell r="E588" t="str">
            <v>IJUÍ</v>
          </cell>
          <cell r="F588" t="str">
            <v>RS</v>
          </cell>
        </row>
        <row r="589">
          <cell r="B589" t="str">
            <v>SSSZ</v>
          </cell>
          <cell r="C589" t="str">
            <v>SERTANÓPOLIS</v>
          </cell>
          <cell r="D589" t="str">
            <v>PR0033_4126504</v>
          </cell>
          <cell r="E589" t="str">
            <v>SERTANÓPOLIS</v>
          </cell>
          <cell r="F589" t="str">
            <v>PR</v>
          </cell>
        </row>
        <row r="590">
          <cell r="B590" t="str">
            <v>N220</v>
          </cell>
          <cell r="C590" t="str">
            <v>AEROPORTO PRÉ-PLANEJADO EM SEDE DE UTP</v>
          </cell>
          <cell r="D590" t="str">
            <v>SC-008_4208401</v>
          </cell>
          <cell r="E590" t="str">
            <v>ITAPIRANGA</v>
          </cell>
          <cell r="F590" t="str">
            <v>SC</v>
          </cell>
        </row>
        <row r="591">
          <cell r="B591" t="str">
            <v>N477</v>
          </cell>
          <cell r="C591" t="str">
            <v>AEROPORTO PRÉ-PLANEJADO EM SEDE DE UTP</v>
          </cell>
          <cell r="D591" t="str">
            <v>RS-031_4322608</v>
          </cell>
          <cell r="E591" t="str">
            <v>VENÂNCIO AIRES</v>
          </cell>
          <cell r="F591" t="str">
            <v>RS</v>
          </cell>
        </row>
        <row r="592">
          <cell r="B592" t="str">
            <v>N017</v>
          </cell>
          <cell r="C592" t="str">
            <v>AEROPORTO PRÉ-PLANEJADO EM SEDE DE UTP</v>
          </cell>
          <cell r="D592" t="str">
            <v>PI-002_2200608</v>
          </cell>
          <cell r="E592" t="str">
            <v>ANGICAL DO PIAUÍ</v>
          </cell>
          <cell r="F592" t="str">
            <v>PI</v>
          </cell>
        </row>
        <row r="593">
          <cell r="B593" t="str">
            <v>SNVB</v>
          </cell>
          <cell r="C593" t="str">
            <v>VALENÇA</v>
          </cell>
          <cell r="D593" t="str">
            <v>BA0008_2932903</v>
          </cell>
          <cell r="E593" t="str">
            <v>VALENÇA</v>
          </cell>
          <cell r="F593" t="str">
            <v>BA</v>
          </cell>
        </row>
        <row r="594">
          <cell r="B594" t="str">
            <v>N585</v>
          </cell>
          <cell r="C594" t="str">
            <v>AEROPORTO PRÉ-PLANEJADO EM SEDE DE UTP</v>
          </cell>
          <cell r="D594" t="str">
            <v>MT-002_5103007</v>
          </cell>
          <cell r="E594" t="str">
            <v>CHAPADA DOS GUIMARÃES</v>
          </cell>
          <cell r="F594" t="str">
            <v>MT</v>
          </cell>
        </row>
        <row r="595">
          <cell r="B595" t="str">
            <v>N297</v>
          </cell>
          <cell r="C595" t="str">
            <v>AEROPORTO PRÉ-PLANEJADO EM SEDE DE UTP</v>
          </cell>
          <cell r="D595" t="str">
            <v>PR-008_4117107</v>
          </cell>
          <cell r="E595" t="str">
            <v>NOVA LONDRINA</v>
          </cell>
          <cell r="F595" t="str">
            <v>PR</v>
          </cell>
        </row>
        <row r="596">
          <cell r="B596" t="str">
            <v>N770</v>
          </cell>
          <cell r="C596" t="str">
            <v>AEROPORTO PRÉ-PLANEJADO EM SEDE DE UTP</v>
          </cell>
          <cell r="D596" t="str">
            <v>RS-012_4309407</v>
          </cell>
          <cell r="E596" t="str">
            <v>GUAPORÉ</v>
          </cell>
          <cell r="F596" t="str">
            <v>RS</v>
          </cell>
        </row>
        <row r="597">
          <cell r="B597" t="str">
            <v>N738</v>
          </cell>
          <cell r="C597" t="str">
            <v>AEROPORTO PRÉ-PLANEJADO EM SEDE DE UTP</v>
          </cell>
          <cell r="D597" t="str">
            <v>BA-020_2923035</v>
          </cell>
          <cell r="E597" t="str">
            <v>NOVO HORIZONTE</v>
          </cell>
          <cell r="F597" t="str">
            <v>BA</v>
          </cell>
        </row>
        <row r="598">
          <cell r="B598" t="str">
            <v>SD9C</v>
          </cell>
          <cell r="C598" t="str">
            <v>BENJAMIN DE MOURA LEAL</v>
          </cell>
          <cell r="D598" t="str">
            <v>PI0065_2210003</v>
          </cell>
          <cell r="E598" t="str">
            <v>SÃO JOÃO DO PIAUÍ</v>
          </cell>
          <cell r="F598" t="str">
            <v>PI</v>
          </cell>
        </row>
        <row r="599">
          <cell r="B599" t="str">
            <v>SWDM</v>
          </cell>
          <cell r="C599" t="str">
            <v>DIAMANTINO</v>
          </cell>
          <cell r="D599" t="str">
            <v>MT0015_5103502</v>
          </cell>
          <cell r="E599" t="str">
            <v>DIAMANTINO</v>
          </cell>
          <cell r="F599" t="str">
            <v>MT</v>
          </cell>
        </row>
        <row r="600">
          <cell r="B600" t="str">
            <v>N438</v>
          </cell>
          <cell r="C600" t="str">
            <v>AEROPORTO PRÉ-PLANEJADO EM SEDE DE UTP</v>
          </cell>
          <cell r="D600" t="str">
            <v>RS-029_4321329</v>
          </cell>
          <cell r="E600" t="str">
            <v>TAQUARUÇU DO SUL</v>
          </cell>
          <cell r="F600" t="str">
            <v>RS</v>
          </cell>
        </row>
        <row r="601">
          <cell r="B601" t="str">
            <v>SDTP</v>
          </cell>
          <cell r="C601" t="str">
            <v>JOSÉ VICENTE FARIA LIMA</v>
          </cell>
          <cell r="D601" t="str">
            <v>SP0025_3555000</v>
          </cell>
          <cell r="E601" t="str">
            <v>TUPÃ</v>
          </cell>
          <cell r="F601" t="str">
            <v>SP</v>
          </cell>
        </row>
        <row r="602">
          <cell r="B602" t="str">
            <v>N405</v>
          </cell>
          <cell r="C602" t="str">
            <v>AEROPORTO PRÉ-PLANEJADO EM SEDE DE UTP</v>
          </cell>
          <cell r="D602" t="str">
            <v>SC-015_4216008</v>
          </cell>
          <cell r="E602" t="str">
            <v>SÃO CARLOS</v>
          </cell>
          <cell r="F602" t="str">
            <v>SC</v>
          </cell>
        </row>
        <row r="603">
          <cell r="B603" t="str">
            <v>N544</v>
          </cell>
          <cell r="C603" t="str">
            <v>AEROPORTO PRÉ-PLANEJADO EM SEDE DE UTP</v>
          </cell>
          <cell r="D603" t="str">
            <v>MA-004_2102325</v>
          </cell>
          <cell r="E603" t="str">
            <v>BURITICUPU</v>
          </cell>
          <cell r="F603" t="str">
            <v>MA</v>
          </cell>
        </row>
        <row r="604">
          <cell r="B604" t="str">
            <v>N322</v>
          </cell>
          <cell r="C604" t="str">
            <v>AEROPORTO PRÉ-PLANEJADO EM SEDE DE UTP</v>
          </cell>
          <cell r="D604" t="str">
            <v>RJ-016_3303856</v>
          </cell>
          <cell r="E604" t="str">
            <v>PATY DO ALFERES</v>
          </cell>
          <cell r="F604" t="str">
            <v>RJ</v>
          </cell>
        </row>
        <row r="605">
          <cell r="B605" t="str">
            <v>N107</v>
          </cell>
          <cell r="C605" t="str">
            <v>AEROPORTO PRÉ-PLANEJADO EM SEDE DE UTP</v>
          </cell>
          <cell r="D605" t="str">
            <v>SP-007_3510401</v>
          </cell>
          <cell r="E605" t="str">
            <v>CAPIVARI</v>
          </cell>
          <cell r="F605" t="str">
            <v>SP</v>
          </cell>
        </row>
        <row r="606">
          <cell r="B606" t="str">
            <v>N633</v>
          </cell>
          <cell r="C606" t="str">
            <v>AEROPORTO PRÉ-PLANEJADO EM SEDE DE UTP</v>
          </cell>
          <cell r="D606" t="str">
            <v>MA-012_2104107</v>
          </cell>
          <cell r="E606" t="str">
            <v>FORTALEZA DOS NOGUEIRAS</v>
          </cell>
          <cell r="F606" t="str">
            <v>MA</v>
          </cell>
        </row>
        <row r="607">
          <cell r="B607" t="str">
            <v>SNAR</v>
          </cell>
          <cell r="C607" t="str">
            <v>CIRILO QUEIRÓZ</v>
          </cell>
          <cell r="D607" t="str">
            <v>MG0033_3101706</v>
          </cell>
          <cell r="E607" t="str">
            <v>ALMENARA</v>
          </cell>
          <cell r="F607" t="str">
            <v>MG</v>
          </cell>
        </row>
        <row r="608">
          <cell r="B608" t="str">
            <v>N279</v>
          </cell>
          <cell r="C608" t="str">
            <v>AEROPORTO PRÉ-PLANEJADO FORA DE SEDE DE UTP</v>
          </cell>
          <cell r="D608" t="str">
            <v>PE-007_2609907</v>
          </cell>
          <cell r="E608" t="str">
            <v>OURICURI</v>
          </cell>
          <cell r="F608" t="str">
            <v>PE</v>
          </cell>
        </row>
        <row r="609">
          <cell r="B609" t="str">
            <v>SSXD</v>
          </cell>
          <cell r="C609" t="str">
            <v>TOBIAS BACCI</v>
          </cell>
          <cell r="D609" t="str">
            <v>RS0026_4320107</v>
          </cell>
          <cell r="E609" t="str">
            <v>SARANDI</v>
          </cell>
          <cell r="F609" t="str">
            <v>RS</v>
          </cell>
        </row>
        <row r="610">
          <cell r="B610" t="str">
            <v>N829</v>
          </cell>
          <cell r="C610" t="str">
            <v>AEROPORTO PRÉ-PLANEJADO EM SEDE DE UTP</v>
          </cell>
          <cell r="D610" t="str">
            <v>BA-028_2929255</v>
          </cell>
          <cell r="E610" t="str">
            <v>SÃO GABRIEL</v>
          </cell>
          <cell r="F610" t="str">
            <v>BA</v>
          </cell>
        </row>
        <row r="611">
          <cell r="B611" t="str">
            <v>SDNM</v>
          </cell>
          <cell r="C611" t="str">
            <v>BRIGADEIRO EDUARDO GOMES</v>
          </cell>
          <cell r="D611" t="str">
            <v>MT0047_5106224</v>
          </cell>
          <cell r="E611" t="str">
            <v>NOVA MUTUM</v>
          </cell>
          <cell r="F611" t="str">
            <v>MT</v>
          </cell>
        </row>
        <row r="612">
          <cell r="B612" t="str">
            <v>N779</v>
          </cell>
          <cell r="C612" t="str">
            <v>AEROPORTO PRÉ-PLANEJADO EM SEDE DE UTP</v>
          </cell>
          <cell r="D612" t="str">
            <v>RS-016_4312708</v>
          </cell>
          <cell r="E612" t="str">
            <v>NONOAI</v>
          </cell>
          <cell r="F612" t="str">
            <v>RS</v>
          </cell>
        </row>
        <row r="613">
          <cell r="B613" t="str">
            <v>SSCR</v>
          </cell>
          <cell r="C613" t="str">
            <v>BALDUINO HELMUTH JOPE</v>
          </cell>
          <cell r="D613" t="str">
            <v>PR0016_4114609</v>
          </cell>
          <cell r="E613" t="str">
            <v>MARECHAL CÂNDIDO RONDON</v>
          </cell>
          <cell r="F613" t="str">
            <v>PR</v>
          </cell>
        </row>
        <row r="614">
          <cell r="B614" t="str">
            <v>SILC</v>
          </cell>
          <cell r="C614" t="str">
            <v xml:space="preserve">AEROPORTO MUNICIPAL BOM FUTURO </v>
          </cell>
          <cell r="D614" t="str">
            <v>MT0025_5105259</v>
          </cell>
          <cell r="E614" t="str">
            <v>LUCAS DO RIO VERDE</v>
          </cell>
          <cell r="F614" t="str">
            <v>MT</v>
          </cell>
        </row>
        <row r="615">
          <cell r="B615" t="str">
            <v>SNIO</v>
          </cell>
          <cell r="C615" t="str">
            <v>CIPÓ</v>
          </cell>
          <cell r="D615" t="str">
            <v>BA0010_2907905</v>
          </cell>
          <cell r="E615" t="str">
            <v>CIPÓ</v>
          </cell>
          <cell r="F615" t="str">
            <v>BA</v>
          </cell>
        </row>
        <row r="616">
          <cell r="B616" t="str">
            <v>SSNB</v>
          </cell>
          <cell r="C616" t="str">
            <v>ARIOSTO DA RIVA</v>
          </cell>
          <cell r="D616" t="str">
            <v>MS0015_5005707</v>
          </cell>
          <cell r="E616" t="str">
            <v>NAVIRAÍ</v>
          </cell>
          <cell r="F616" t="str">
            <v>MS</v>
          </cell>
        </row>
        <row r="617">
          <cell r="B617" t="str">
            <v>N446</v>
          </cell>
          <cell r="C617" t="str">
            <v>AEROPORTO PRÉ-PLANEJADO EM SEDE DE UTP</v>
          </cell>
          <cell r="D617" t="str">
            <v>RS-030_4321451</v>
          </cell>
          <cell r="E617" t="str">
            <v>TEUTÔNIA</v>
          </cell>
          <cell r="F617" t="str">
            <v>RS</v>
          </cell>
        </row>
        <row r="618">
          <cell r="B618" t="str">
            <v>N328</v>
          </cell>
          <cell r="C618" t="str">
            <v>AEROPORTO PRÉ-PLANEJADO EM SEDE DE UTP</v>
          </cell>
          <cell r="D618" t="str">
            <v>RS-017_4314209</v>
          </cell>
          <cell r="E618" t="str">
            <v>PEDRO OSÓRIO</v>
          </cell>
          <cell r="F618" t="str">
            <v>RS</v>
          </cell>
        </row>
        <row r="619">
          <cell r="B619" t="str">
            <v>N327</v>
          </cell>
          <cell r="C619" t="str">
            <v>AEROPORTO PRÉ-PLANEJADO EM SEDE DE UTP</v>
          </cell>
          <cell r="D619" t="str">
            <v>TO-006_1709302</v>
          </cell>
          <cell r="E619" t="str">
            <v>GUARAÍ</v>
          </cell>
          <cell r="F619" t="str">
            <v>TO</v>
          </cell>
        </row>
        <row r="620">
          <cell r="B620" t="str">
            <v>SNBM</v>
          </cell>
          <cell r="C620" t="str">
            <v>CRISTIANO FERREIRA VARELLA</v>
          </cell>
          <cell r="D620" t="str">
            <v>MG0051_3143906</v>
          </cell>
          <cell r="E620" t="str">
            <v>MURIAÉ</v>
          </cell>
          <cell r="F620" t="str">
            <v>MG</v>
          </cell>
        </row>
        <row r="621">
          <cell r="B621" t="str">
            <v>N673</v>
          </cell>
          <cell r="C621" t="str">
            <v>AEROPORTO PRÉ-PLANEJADO EM SEDE DE UTP</v>
          </cell>
          <cell r="D621" t="str">
            <v>CE-005_2306900</v>
          </cell>
          <cell r="E621" t="str">
            <v>JAGUARIBE</v>
          </cell>
          <cell r="F621" t="str">
            <v>CE</v>
          </cell>
        </row>
        <row r="622">
          <cell r="B622" t="str">
            <v>SNQU</v>
          </cell>
          <cell r="C622" t="str">
            <v>MUCUGÊ</v>
          </cell>
          <cell r="D622" t="str">
            <v>BA0032_2921906</v>
          </cell>
          <cell r="E622" t="str">
            <v>MUCUGÊ</v>
          </cell>
          <cell r="F622" t="str">
            <v>BA</v>
          </cell>
        </row>
        <row r="623">
          <cell r="B623" t="str">
            <v>N471</v>
          </cell>
          <cell r="C623" t="str">
            <v>AEROPORTO PRÉ-PLANEJADO EM SEDE DE UTP</v>
          </cell>
          <cell r="D623" t="str">
            <v>SP-026_3556305</v>
          </cell>
          <cell r="E623" t="str">
            <v>VALPARAÍSO</v>
          </cell>
          <cell r="F623" t="str">
            <v>SP</v>
          </cell>
        </row>
        <row r="624">
          <cell r="B624" t="str">
            <v>SNBZ</v>
          </cell>
          <cell r="C624" t="str">
            <v>PARAMIRIM</v>
          </cell>
          <cell r="D624" t="str">
            <v>BA0042_2923605</v>
          </cell>
          <cell r="E624" t="str">
            <v>PARAMIRIM</v>
          </cell>
          <cell r="F624" t="str">
            <v>BA</v>
          </cell>
        </row>
        <row r="625">
          <cell r="B625" t="str">
            <v>N133</v>
          </cell>
          <cell r="C625" t="str">
            <v>AEROPORTO PRÉ-PLANEJADO FORA DE SEDE DE UTP</v>
          </cell>
          <cell r="D625" t="str">
            <v>PA-021_1507904</v>
          </cell>
          <cell r="E625" t="str">
            <v>SOURE</v>
          </cell>
          <cell r="F625" t="str">
            <v>PA</v>
          </cell>
        </row>
        <row r="626">
          <cell r="B626" t="str">
            <v>N319</v>
          </cell>
          <cell r="C626" t="str">
            <v>AEROPORTO PRÉ-PLANEJADO EM SEDE DE UTP</v>
          </cell>
          <cell r="D626" t="str">
            <v>BA-008_2906907</v>
          </cell>
          <cell r="E626" t="str">
            <v>CARAVELAS</v>
          </cell>
          <cell r="F626" t="str">
            <v>BA</v>
          </cell>
        </row>
        <row r="627">
          <cell r="B627" t="str">
            <v>N174</v>
          </cell>
          <cell r="C627" t="str">
            <v>AEROPORTO PRÉ-PLANEJADO EM SEDE DE UTP</v>
          </cell>
          <cell r="D627" t="str">
            <v>SP-011_3520301</v>
          </cell>
          <cell r="E627" t="str">
            <v>IGUAPE</v>
          </cell>
          <cell r="F627" t="str">
            <v>SP</v>
          </cell>
        </row>
        <row r="628">
          <cell r="B628" t="str">
            <v>SNCX</v>
          </cell>
          <cell r="C628" t="str">
            <v>COLATINA</v>
          </cell>
          <cell r="D628" t="str">
            <v>ES0004_3201506</v>
          </cell>
          <cell r="E628" t="str">
            <v>COLATINA</v>
          </cell>
          <cell r="F628" t="str">
            <v>ES</v>
          </cell>
        </row>
        <row r="629">
          <cell r="B629" t="str">
            <v>SBCI</v>
          </cell>
          <cell r="C629" t="str">
            <v>BRIGADEIRO LYSIAS AUGUSTO RODRIGUES</v>
          </cell>
          <cell r="D629" t="str">
            <v>MA0003_2102804</v>
          </cell>
          <cell r="E629" t="str">
            <v>CAROLINA</v>
          </cell>
          <cell r="F629" t="str">
            <v>MA</v>
          </cell>
        </row>
        <row r="630">
          <cell r="B630" t="str">
            <v>SJVO</v>
          </cell>
          <cell r="C630" t="str">
            <v>ARAGARÇAS</v>
          </cell>
          <cell r="D630" t="str">
            <v>GO0030_5201702</v>
          </cell>
          <cell r="E630" t="str">
            <v>ARAGARÇAS</v>
          </cell>
          <cell r="F630" t="str">
            <v>GO</v>
          </cell>
        </row>
        <row r="631">
          <cell r="B631" t="str">
            <v>SNED</v>
          </cell>
          <cell r="C631" t="str">
            <v>SÓCRATES REZENDE</v>
          </cell>
          <cell r="D631" t="str">
            <v>BA0023_2906303</v>
          </cell>
          <cell r="E631" t="str">
            <v>CANAVIEIRAS</v>
          </cell>
          <cell r="F631" t="str">
            <v>BA</v>
          </cell>
        </row>
        <row r="632">
          <cell r="B632" t="str">
            <v>SNCT</v>
          </cell>
          <cell r="C632" t="str">
            <v>CARATINGA</v>
          </cell>
          <cell r="D632" t="str">
            <v>MG0056_3170057</v>
          </cell>
          <cell r="E632" t="str">
            <v>UBAPORANGA</v>
          </cell>
          <cell r="F632" t="str">
            <v>MG</v>
          </cell>
        </row>
        <row r="633">
          <cell r="B633" t="str">
            <v>N135</v>
          </cell>
          <cell r="C633" t="str">
            <v>AEROPORTO PRÉ-PLANEJADO EM SEDE DE UTP</v>
          </cell>
          <cell r="D633" t="str">
            <v>RJ-011_3301504</v>
          </cell>
          <cell r="E633" t="str">
            <v>CORDEIRO</v>
          </cell>
          <cell r="F633" t="str">
            <v>RJ</v>
          </cell>
        </row>
        <row r="634">
          <cell r="B634" t="str">
            <v>N524</v>
          </cell>
          <cell r="C634" t="str">
            <v>AEROPORTO PRÉ-PLANEJADO EM SEDE DE UTP</v>
          </cell>
          <cell r="D634" t="str">
            <v>MG-038_3167103</v>
          </cell>
          <cell r="E634" t="str">
            <v>SERRO</v>
          </cell>
          <cell r="F634" t="str">
            <v>MG</v>
          </cell>
        </row>
        <row r="635">
          <cell r="B635" t="str">
            <v>N157</v>
          </cell>
          <cell r="C635" t="str">
            <v>AEROPORTO PRÉ-PLANEJADO EM SEDE DE UTP</v>
          </cell>
          <cell r="D635" t="str">
            <v>MA-001_2100501</v>
          </cell>
          <cell r="E635" t="str">
            <v>ALTO PARNAÍBA</v>
          </cell>
          <cell r="F635" t="str">
            <v>MA</v>
          </cell>
        </row>
        <row r="636">
          <cell r="B636" t="str">
            <v>SSRU</v>
          </cell>
          <cell r="C636" t="str">
            <v>SÃO LOURENÇO DO SUL</v>
          </cell>
          <cell r="D636" t="str">
            <v>RS0034_4318804</v>
          </cell>
          <cell r="E636" t="str">
            <v>SÃO LOURENÇO DO SUL</v>
          </cell>
          <cell r="F636" t="str">
            <v>RS</v>
          </cell>
        </row>
        <row r="637">
          <cell r="B637" t="str">
            <v>SNJQ</v>
          </cell>
          <cell r="C637" t="str">
            <v>JEQUITINHONHA</v>
          </cell>
          <cell r="D637" t="str">
            <v>MG0053_3135803</v>
          </cell>
          <cell r="E637" t="str">
            <v>JEQUITINHONHA</v>
          </cell>
          <cell r="F637" t="str">
            <v>MG</v>
          </cell>
        </row>
        <row r="638">
          <cell r="B638" t="str">
            <v>SSOE</v>
          </cell>
          <cell r="C638" t="str">
            <v>HÉLIO WASUM</v>
          </cell>
          <cell r="D638" t="str">
            <v>SC0015_4217204</v>
          </cell>
          <cell r="E638" t="str">
            <v>SÃO MIGUEL DO OESTE</v>
          </cell>
          <cell r="F638" t="str">
            <v>SC</v>
          </cell>
        </row>
        <row r="639">
          <cell r="B639" t="str">
            <v>N338</v>
          </cell>
          <cell r="C639" t="str">
            <v>AEROPORTO PRÉ-PLANEJADO EM SEDE DE UTP</v>
          </cell>
          <cell r="D639" t="str">
            <v>SP-021_3539202</v>
          </cell>
          <cell r="E639" t="str">
            <v>PIRAPOZINHO</v>
          </cell>
          <cell r="F639" t="str">
            <v>SP</v>
          </cell>
        </row>
        <row r="640">
          <cell r="B640" t="str">
            <v>N244</v>
          </cell>
          <cell r="C640" t="str">
            <v>AEROPORTO PRÉ-PLANEJADO FORA DE SEDE DE UTP</v>
          </cell>
          <cell r="D640" t="str">
            <v>RN-001_2400208</v>
          </cell>
          <cell r="E640" t="str">
            <v>AÇU</v>
          </cell>
          <cell r="F640" t="str">
            <v>RN</v>
          </cell>
        </row>
        <row r="641">
          <cell r="B641" t="str">
            <v>N749</v>
          </cell>
          <cell r="C641" t="str">
            <v>AEROPORTO PRÉ-PLANEJADO FORA DE SEDE DE UTP</v>
          </cell>
          <cell r="D641" t="str">
            <v>RS-003_4302303</v>
          </cell>
          <cell r="E641" t="str">
            <v>BOM JESUS</v>
          </cell>
          <cell r="F641" t="str">
            <v>RS</v>
          </cell>
        </row>
        <row r="642">
          <cell r="B642" t="str">
            <v>N085</v>
          </cell>
          <cell r="C642" t="str">
            <v>AEROPORTO PRÉ-PLANEJADO EM SEDE DE UTP</v>
          </cell>
          <cell r="D642" t="str">
            <v>BA-005_2904902</v>
          </cell>
          <cell r="E642" t="str">
            <v>CACHOEIRA</v>
          </cell>
          <cell r="F642" t="str">
            <v>BA</v>
          </cell>
        </row>
        <row r="643">
          <cell r="B643" t="str">
            <v>N419</v>
          </cell>
          <cell r="C643" t="str">
            <v>AEROPORTO PRÉ-PLANEJADO FORA DE SEDE DE UTP</v>
          </cell>
          <cell r="D643" t="str">
            <v>ES-001_3203908</v>
          </cell>
          <cell r="E643" t="str">
            <v>NOVA VENÉCIA</v>
          </cell>
          <cell r="F643" t="str">
            <v>ES</v>
          </cell>
        </row>
        <row r="644">
          <cell r="B644" t="str">
            <v>SN3Y</v>
          </cell>
          <cell r="C644" t="str">
            <v>NOVO AEROPORTO DE BOM JESUS DA LAPA</v>
          </cell>
          <cell r="D644" t="str">
            <v>BA0251_2903904</v>
          </cell>
          <cell r="E644" t="str">
            <v>BOM JESUS DA LAPA</v>
          </cell>
          <cell r="F644" t="str">
            <v>BA</v>
          </cell>
        </row>
        <row r="645">
          <cell r="B645" t="str">
            <v>SNJK</v>
          </cell>
          <cell r="C645" t="str">
            <v>JEQUIÉ</v>
          </cell>
          <cell r="D645" t="str">
            <v>BA0047_2918001</v>
          </cell>
          <cell r="E645" t="str">
            <v>JEQUIÉ</v>
          </cell>
          <cell r="F645" t="str">
            <v>BA</v>
          </cell>
        </row>
        <row r="646">
          <cell r="B646" t="str">
            <v>SSFB</v>
          </cell>
          <cell r="C646" t="str">
            <v>PAULO ABDALA</v>
          </cell>
          <cell r="D646" t="str">
            <v>PR0021_4108403</v>
          </cell>
          <cell r="E646" t="str">
            <v>FRANCISCO BELTRÃO</v>
          </cell>
          <cell r="F646" t="str">
            <v>PR</v>
          </cell>
        </row>
        <row r="647">
          <cell r="B647" t="str">
            <v>SSEE</v>
          </cell>
          <cell r="C647" t="str">
            <v>REGIONAL DO VALE DO TAQUARI</v>
          </cell>
          <cell r="D647" t="str">
            <v>RS0054_4307807</v>
          </cell>
          <cell r="E647" t="str">
            <v>ESTRELA</v>
          </cell>
          <cell r="F647" t="str">
            <v>RS</v>
          </cell>
        </row>
        <row r="648">
          <cell r="B648" t="str">
            <v>SSRE</v>
          </cell>
          <cell r="C648" t="str">
            <v>REALEZA</v>
          </cell>
          <cell r="D648" t="str">
            <v>PR0030_4121406</v>
          </cell>
          <cell r="E648" t="str">
            <v>REALEZA</v>
          </cell>
          <cell r="F648" t="str">
            <v>PR</v>
          </cell>
        </row>
        <row r="649">
          <cell r="B649" t="str">
            <v>SNYT</v>
          </cell>
          <cell r="C649" t="str">
            <v>ITUAÇU</v>
          </cell>
          <cell r="D649" t="str">
            <v>BA0014_2917201</v>
          </cell>
          <cell r="E649" t="str">
            <v>ITUAÇU</v>
          </cell>
          <cell r="F649" t="str">
            <v>BA</v>
          </cell>
        </row>
        <row r="650">
          <cell r="B650" t="str">
            <v>N120</v>
          </cell>
          <cell r="C650" t="str">
            <v>AEROPORTO PRÉ-PLANEJADO EM SEDE DE UTP</v>
          </cell>
          <cell r="D650" t="str">
            <v>MA-006_2103000</v>
          </cell>
          <cell r="E650" t="str">
            <v>CAXIAS</v>
          </cell>
          <cell r="F650" t="str">
            <v>MA</v>
          </cell>
        </row>
        <row r="651">
          <cell r="B651" t="str">
            <v>SSXX</v>
          </cell>
          <cell r="C651" t="str">
            <v>MUNICIPAL JOÃO WINCKLER</v>
          </cell>
          <cell r="D651" t="str">
            <v>SC0017_4219507</v>
          </cell>
          <cell r="E651" t="str">
            <v>XANXERÊ</v>
          </cell>
          <cell r="F651" t="str">
            <v>SC</v>
          </cell>
        </row>
        <row r="652">
          <cell r="B652" t="str">
            <v>N018</v>
          </cell>
          <cell r="C652" t="str">
            <v>AEROPORTO PRÉ-PLANEJADO EM SEDE DE UTP</v>
          </cell>
          <cell r="D652" t="str">
            <v>RS-001_4300802</v>
          </cell>
          <cell r="E652" t="str">
            <v>ANTÔNIO PRADO</v>
          </cell>
          <cell r="F652" t="str">
            <v>RS</v>
          </cell>
        </row>
        <row r="653">
          <cell r="B653" t="str">
            <v>SSER</v>
          </cell>
          <cell r="C653" t="str">
            <v>ERECHIM</v>
          </cell>
          <cell r="D653" t="str">
            <v>RS0018_4307005</v>
          </cell>
          <cell r="E653" t="str">
            <v>ERECHIM</v>
          </cell>
          <cell r="F653" t="str">
            <v>RS</v>
          </cell>
        </row>
        <row r="654">
          <cell r="B654" t="str">
            <v>SDRS</v>
          </cell>
          <cell r="C654" t="str">
            <v>RESENDE</v>
          </cell>
          <cell r="D654" t="str">
            <v>RJ0007_3304201</v>
          </cell>
          <cell r="E654" t="str">
            <v>RESENDE</v>
          </cell>
          <cell r="F654" t="str">
            <v>RJ</v>
          </cell>
        </row>
        <row r="655">
          <cell r="B655" t="str">
            <v>N640</v>
          </cell>
          <cell r="C655" t="str">
            <v>AEROPORTO PRÉ-PLANEJADO EM SEDE DE UTP</v>
          </cell>
          <cell r="D655" t="str">
            <v>MA-014_2104800</v>
          </cell>
          <cell r="E655" t="str">
            <v>GRAJAÚ</v>
          </cell>
          <cell r="F655" t="str">
            <v>MA</v>
          </cell>
        </row>
        <row r="656">
          <cell r="B656" t="str">
            <v>SSPI</v>
          </cell>
          <cell r="C656" t="str">
            <v>EDU CHAVES</v>
          </cell>
          <cell r="D656" t="str">
            <v>PR0010_4118402</v>
          </cell>
          <cell r="E656" t="str">
            <v>PARANAVAÍ</v>
          </cell>
          <cell r="F656" t="str">
            <v>PR</v>
          </cell>
        </row>
        <row r="657">
          <cell r="B657" t="str">
            <v>SNMH</v>
          </cell>
          <cell r="C657" t="str">
            <v>PIRENÓPOLIS</v>
          </cell>
          <cell r="D657" t="str">
            <v>GO0018_5217302</v>
          </cell>
          <cell r="E657" t="str">
            <v>PIRENÓPOLIS</v>
          </cell>
          <cell r="F657" t="str">
            <v>GO</v>
          </cell>
        </row>
        <row r="658">
          <cell r="B658" t="str">
            <v>SSVN</v>
          </cell>
          <cell r="C658" t="str">
            <v>VERANÓPOLIS</v>
          </cell>
          <cell r="D658" t="str">
            <v>RS0030_4322806</v>
          </cell>
          <cell r="E658" t="str">
            <v>VERANÓPOLIS</v>
          </cell>
          <cell r="F658" t="str">
            <v>RS</v>
          </cell>
        </row>
        <row r="659">
          <cell r="B659" t="str">
            <v>SBUY</v>
          </cell>
          <cell r="C659" t="str">
            <v>URUCU</v>
          </cell>
          <cell r="D659" t="str">
            <v>AM0025_1301209</v>
          </cell>
          <cell r="E659" t="str">
            <v>COARI</v>
          </cell>
          <cell r="F659" t="str">
            <v>AM</v>
          </cell>
        </row>
        <row r="660">
          <cell r="B660" t="str">
            <v>N503</v>
          </cell>
          <cell r="C660" t="str">
            <v>AEROPORTO PRÉ-PLANEJADO EM SEDE DE UTP</v>
          </cell>
          <cell r="D660" t="str">
            <v>MG-028_3152006</v>
          </cell>
          <cell r="E660" t="str">
            <v>POMPÉU</v>
          </cell>
          <cell r="F660" t="str">
            <v>MG</v>
          </cell>
        </row>
        <row r="661">
          <cell r="B661" t="str">
            <v>N455</v>
          </cell>
          <cell r="C661" t="str">
            <v>AEROPORTO PRÉ-PLANEJADO EM SEDE DE UTP</v>
          </cell>
          <cell r="D661" t="str">
            <v>MG-012_3128006</v>
          </cell>
          <cell r="E661" t="str">
            <v>GUANHÃES</v>
          </cell>
          <cell r="F661" t="str">
            <v>MG</v>
          </cell>
        </row>
        <row r="662">
          <cell r="B662" t="str">
            <v>SSOW</v>
          </cell>
          <cell r="C662" t="str">
            <v>AEROCLUBE DE FREDERICO WESTPHALEN</v>
          </cell>
          <cell r="D662" t="str">
            <v>RS0098_4308508</v>
          </cell>
          <cell r="E662" t="str">
            <v>FREDERICO WESTPHALEN</v>
          </cell>
          <cell r="F662" t="str">
            <v>RS</v>
          </cell>
        </row>
        <row r="663">
          <cell r="B663" t="str">
            <v>SBLJ</v>
          </cell>
          <cell r="C663" t="str">
            <v>LAGES</v>
          </cell>
          <cell r="D663" t="str">
            <v>SC0007_4209300</v>
          </cell>
          <cell r="E663" t="str">
            <v>LAGES</v>
          </cell>
          <cell r="F663" t="str">
            <v>SC</v>
          </cell>
        </row>
        <row r="664">
          <cell r="B664" t="str">
            <v>N008</v>
          </cell>
          <cell r="C664" t="str">
            <v>AEROPORTO PRÉ-PLANEJADO EM SEDE DE UTP</v>
          </cell>
          <cell r="D664" t="str">
            <v>PB-001_2500403</v>
          </cell>
          <cell r="E664" t="str">
            <v>ALAGOA NOVA</v>
          </cell>
          <cell r="F664" t="str">
            <v>PB</v>
          </cell>
        </row>
        <row r="665">
          <cell r="B665" t="str">
            <v>N040</v>
          </cell>
          <cell r="C665" t="str">
            <v>AEROPORTO PRÉ-PLANEJADO EM SEDE DE UTP</v>
          </cell>
          <cell r="D665" t="str">
            <v>SP-003_3503802</v>
          </cell>
          <cell r="E665" t="str">
            <v>ARTUR NOGUEIRA</v>
          </cell>
          <cell r="F665" t="str">
            <v>SP</v>
          </cell>
        </row>
        <row r="666">
          <cell r="B666" t="str">
            <v>SDUQ</v>
          </cell>
          <cell r="C666" t="str">
            <v>PARAGUAÇU PAULISTA</v>
          </cell>
          <cell r="D666" t="str">
            <v>SP0042_3535507</v>
          </cell>
          <cell r="E666" t="str">
            <v>PARAGUAÇU PAULISTA</v>
          </cell>
          <cell r="F666" t="str">
            <v>SP</v>
          </cell>
        </row>
        <row r="667">
          <cell r="B667" t="str">
            <v>SNEE</v>
          </cell>
          <cell r="C667" t="str">
            <v>VACARIA NOVO</v>
          </cell>
          <cell r="D667" t="str">
            <v>RS0004_4322509</v>
          </cell>
          <cell r="E667" t="str">
            <v>VACARIA</v>
          </cell>
          <cell r="F667" t="str">
            <v>RS</v>
          </cell>
        </row>
        <row r="668">
          <cell r="B668" t="str">
            <v>SNAS</v>
          </cell>
          <cell r="C668" t="str">
            <v>TRÊS MARIAS</v>
          </cell>
          <cell r="D668" t="str">
            <v>MG0022_3169356</v>
          </cell>
          <cell r="E668" t="str">
            <v>TRÊS MARIAS</v>
          </cell>
          <cell r="F668" t="str">
            <v>MG</v>
          </cell>
        </row>
        <row r="669">
          <cell r="B669" t="str">
            <v>SSAE</v>
          </cell>
          <cell r="C669" t="str">
            <v>ARROIO GRANDE</v>
          </cell>
          <cell r="D669" t="str">
            <v>RS0040_4301305</v>
          </cell>
          <cell r="E669" t="str">
            <v>ARROIO GRANDE</v>
          </cell>
          <cell r="F669" t="str">
            <v>RS</v>
          </cell>
        </row>
        <row r="670">
          <cell r="B670" t="str">
            <v>N394</v>
          </cell>
          <cell r="C670" t="str">
            <v>AEROPORTO PRÉ-PLANEJADO EM SEDE DE UTP</v>
          </cell>
          <cell r="D670" t="str">
            <v>BA-029_2929370</v>
          </cell>
          <cell r="E670" t="str">
            <v>SÃO JOSÉ DO JACUÍPE</v>
          </cell>
          <cell r="F670" t="str">
            <v>BA</v>
          </cell>
        </row>
        <row r="671">
          <cell r="B671" t="str">
            <v>SJRG</v>
          </cell>
          <cell r="C671" t="str">
            <v>REGIONAL DE RIO GRANDE</v>
          </cell>
          <cell r="D671" t="str">
            <v>RS0013_4315602</v>
          </cell>
          <cell r="E671" t="str">
            <v>RIO GRANDE</v>
          </cell>
          <cell r="F671" t="str">
            <v>RS</v>
          </cell>
        </row>
        <row r="672">
          <cell r="B672" t="str">
            <v>N384</v>
          </cell>
          <cell r="C672" t="str">
            <v>AEROPORTO PRÉ-PLANEJADO EM SEDE DE UTP</v>
          </cell>
          <cell r="D672" t="str">
            <v>RS-023_4316501</v>
          </cell>
          <cell r="E672" t="str">
            <v>SALVADOR DO SUL</v>
          </cell>
          <cell r="F672" t="str">
            <v>RS</v>
          </cell>
        </row>
        <row r="673">
          <cell r="B673" t="str">
            <v>SDPN</v>
          </cell>
          <cell r="C673" t="str">
            <v>PENÁPOLIS</v>
          </cell>
          <cell r="D673" t="str">
            <v>SP0024_3537305</v>
          </cell>
          <cell r="E673" t="str">
            <v>PENÁPOLIS</v>
          </cell>
          <cell r="F673" t="str">
            <v>SP</v>
          </cell>
        </row>
        <row r="674">
          <cell r="B674" t="str">
            <v>SNIB</v>
          </cell>
          <cell r="C674" t="str">
            <v>ITABERABA</v>
          </cell>
          <cell r="D674" t="str">
            <v>BA0045_2914703</v>
          </cell>
          <cell r="E674" t="str">
            <v>ITABERABA</v>
          </cell>
          <cell r="F674" t="str">
            <v>BA</v>
          </cell>
        </row>
        <row r="675">
          <cell r="B675" t="str">
            <v>SNNE</v>
          </cell>
          <cell r="C675" t="str">
            <v>SEBASTIÃO CARLOS LEITE</v>
          </cell>
          <cell r="D675" t="str">
            <v>MG0078_3162906</v>
          </cell>
          <cell r="E675" t="str">
            <v>SÃO JOÃO NEPOMUCENO</v>
          </cell>
          <cell r="F675" t="str">
            <v>MG</v>
          </cell>
        </row>
        <row r="676">
          <cell r="B676" t="str">
            <v>N574</v>
          </cell>
          <cell r="C676" t="str">
            <v>AEROPORTO PRÉ-PLANEJADO EM SEDE DE UTP</v>
          </cell>
          <cell r="D676" t="str">
            <v>RJ-022_3306107</v>
          </cell>
          <cell r="E676" t="str">
            <v>VALENÇA</v>
          </cell>
          <cell r="F676" t="str">
            <v>RJ</v>
          </cell>
        </row>
        <row r="677">
          <cell r="B677" t="str">
            <v>N483</v>
          </cell>
          <cell r="C677" t="str">
            <v>AEROPORTO PRÉ-PLANEJADO EM SEDE DE UTP</v>
          </cell>
          <cell r="D677" t="str">
            <v>RJ-023_3306305</v>
          </cell>
          <cell r="E677" t="str">
            <v>VOLTA REDONDA</v>
          </cell>
          <cell r="F677" t="str">
            <v>RJ</v>
          </cell>
        </row>
        <row r="678">
          <cell r="B678" t="str">
            <v>N125</v>
          </cell>
          <cell r="C678" t="str">
            <v>AEROPORTO PRÉ-PLANEJADO EM SEDE DE UTP</v>
          </cell>
          <cell r="D678" t="str">
            <v>RS-007_4305454</v>
          </cell>
          <cell r="E678" t="str">
            <v>CIDREIRA</v>
          </cell>
          <cell r="F678" t="str">
            <v>RS</v>
          </cell>
        </row>
        <row r="679">
          <cell r="B679" t="str">
            <v>SDGC</v>
          </cell>
          <cell r="C679" t="str">
            <v>GARÇA</v>
          </cell>
          <cell r="D679" t="str">
            <v>SP0055_3516705</v>
          </cell>
          <cell r="E679" t="str">
            <v>GARÇA</v>
          </cell>
          <cell r="F679" t="str">
            <v>SP</v>
          </cell>
        </row>
        <row r="680">
          <cell r="B680" t="str">
            <v>SIMK</v>
          </cell>
          <cell r="C680" t="str">
            <v>TENENTE LUND PRESSOTO</v>
          </cell>
          <cell r="D680" t="str">
            <v>SP0011_3516200</v>
          </cell>
          <cell r="E680" t="str">
            <v>FRANCA</v>
          </cell>
          <cell r="F680" t="str">
            <v>SP</v>
          </cell>
        </row>
        <row r="681">
          <cell r="B681" t="str">
            <v>SDCA</v>
          </cell>
          <cell r="C681" t="str">
            <v>CAPÃO BONITO</v>
          </cell>
          <cell r="D681" t="str">
            <v>SP0051_3510203</v>
          </cell>
          <cell r="E681" t="str">
            <v>CAPÃO BONITO</v>
          </cell>
          <cell r="F681" t="str">
            <v>SP</v>
          </cell>
        </row>
        <row r="682">
          <cell r="B682" t="str">
            <v>N062</v>
          </cell>
          <cell r="C682" t="str">
            <v>AEROPORTO PRÉ-PLANEJADO EM SEDE DE UTP</v>
          </cell>
          <cell r="D682" t="str">
            <v>AM-010_1303536</v>
          </cell>
          <cell r="E682" t="str">
            <v>PRESIDENTE FIGUEIREDO</v>
          </cell>
          <cell r="F682" t="str">
            <v>AM</v>
          </cell>
        </row>
        <row r="683">
          <cell r="B683" t="str">
            <v>SNMX</v>
          </cell>
          <cell r="C683" t="str">
            <v>SÃO MATEUS</v>
          </cell>
          <cell r="D683" t="str">
            <v>ES0003_3204906</v>
          </cell>
          <cell r="E683" t="str">
            <v>SÃO MATEUS</v>
          </cell>
          <cell r="F683" t="str">
            <v>ES</v>
          </cell>
        </row>
        <row r="684">
          <cell r="B684" t="str">
            <v>SSRG</v>
          </cell>
          <cell r="C684" t="str">
            <v>AEROPORTO ESTADUAL DE REGISTRO</v>
          </cell>
          <cell r="D684" t="str">
            <v>SP0030_3542602</v>
          </cell>
          <cell r="E684" t="str">
            <v>REGISTRO</v>
          </cell>
          <cell r="F684" t="str">
            <v>SP</v>
          </cell>
        </row>
        <row r="685">
          <cell r="B685" t="str">
            <v>N368</v>
          </cell>
          <cell r="C685" t="str">
            <v>AEROPORTO PRÉ-PLANEJADO EM SEDE DE UTP</v>
          </cell>
          <cell r="D685" t="str">
            <v>BA-019_2922102</v>
          </cell>
          <cell r="E685" t="str">
            <v>MUNDO NOVO</v>
          </cell>
          <cell r="F685" t="str">
            <v>BA</v>
          </cell>
        </row>
        <row r="686">
          <cell r="B686" t="str">
            <v>N710</v>
          </cell>
          <cell r="C686" t="str">
            <v>AEROPORTO PRÉ-PLANEJADO EM SEDE DE UTP</v>
          </cell>
          <cell r="D686" t="str">
            <v>PR-007_4115804</v>
          </cell>
          <cell r="E686" t="str">
            <v>MEDIANEIRA</v>
          </cell>
          <cell r="F686" t="str">
            <v>PR</v>
          </cell>
        </row>
        <row r="687">
          <cell r="B687" t="str">
            <v>SNRD</v>
          </cell>
          <cell r="C687" t="str">
            <v>PRADO</v>
          </cell>
          <cell r="D687" t="str">
            <v>BA0048_2925501</v>
          </cell>
          <cell r="E687" t="str">
            <v>PRADO</v>
          </cell>
          <cell r="F687" t="str">
            <v>BA</v>
          </cell>
        </row>
        <row r="688">
          <cell r="B688" t="str">
            <v>N399</v>
          </cell>
          <cell r="C688" t="str">
            <v>AEROPORTO PRÉ-PLANEJADO EM SEDE DE UTP</v>
          </cell>
          <cell r="D688" t="str">
            <v>BA-031_2931905</v>
          </cell>
          <cell r="E688" t="str">
            <v>TUCANO</v>
          </cell>
          <cell r="F688" t="str">
            <v>BA</v>
          </cell>
        </row>
        <row r="689">
          <cell r="B689" t="str">
            <v>N310</v>
          </cell>
          <cell r="C689" t="str">
            <v>AEROPORTO PRÉ-PLANEJADO EM SEDE DE UTP</v>
          </cell>
          <cell r="D689" t="str">
            <v>MG-025_3147402</v>
          </cell>
          <cell r="E689" t="str">
            <v>PARAOPEBA</v>
          </cell>
          <cell r="F689" t="str">
            <v>MG</v>
          </cell>
        </row>
        <row r="690">
          <cell r="B690" t="str">
            <v>N002</v>
          </cell>
          <cell r="C690" t="str">
            <v>AEROPORTO PRÉ-PLANEJADO EM SEDE DE UTP</v>
          </cell>
          <cell r="D690" t="str">
            <v>PA-001_1500107</v>
          </cell>
          <cell r="E690" t="str">
            <v>ABAETETUBA</v>
          </cell>
          <cell r="F690" t="str">
            <v>PA</v>
          </cell>
        </row>
        <row r="691">
          <cell r="B691" t="str">
            <v>SDNH</v>
          </cell>
          <cell r="C691" t="str">
            <v>NOVO HORIZONTE</v>
          </cell>
          <cell r="D691" t="str">
            <v>SP0060_3533502</v>
          </cell>
          <cell r="E691" t="str">
            <v>NOVO HORIZONTE</v>
          </cell>
          <cell r="F691" t="str">
            <v>SP</v>
          </cell>
        </row>
        <row r="692">
          <cell r="B692" t="str">
            <v>SNIT</v>
          </cell>
          <cell r="C692" t="str">
            <v>IBOTIRAMA</v>
          </cell>
          <cell r="D692" t="str">
            <v>BA0046_2913200</v>
          </cell>
          <cell r="E692" t="str">
            <v>IBOTIRAMA</v>
          </cell>
          <cell r="F692" t="str">
            <v>BA</v>
          </cell>
        </row>
        <row r="693">
          <cell r="B693" t="str">
            <v>SWPM</v>
          </cell>
          <cell r="C693" t="str">
            <v>PIMENTA BUENO</v>
          </cell>
          <cell r="D693" t="str">
            <v>RO0009_1100189</v>
          </cell>
          <cell r="E693" t="str">
            <v>PIMENTA BUENO</v>
          </cell>
          <cell r="F693" t="str">
            <v>RO</v>
          </cell>
        </row>
        <row r="694">
          <cell r="B694" t="str">
            <v>N129</v>
          </cell>
          <cell r="C694" t="str">
            <v>AEROPORTO PRÉ-PLANEJADO FORA DE SEDE DE UTP</v>
          </cell>
          <cell r="D694" t="str">
            <v>BA-027_2928703</v>
          </cell>
          <cell r="E694" t="str">
            <v>SANTO ANTÔNIO DE JESUS</v>
          </cell>
          <cell r="F694" t="str">
            <v>BA</v>
          </cell>
        </row>
        <row r="695">
          <cell r="B695" t="str">
            <v>N269</v>
          </cell>
          <cell r="C695" t="str">
            <v>AEROPORTO PRÉ-PLANEJADO EM SEDE DE UTP</v>
          </cell>
          <cell r="D695" t="str">
            <v>PB-008_2508901</v>
          </cell>
          <cell r="E695" t="str">
            <v>MAMANGUAPE</v>
          </cell>
          <cell r="F695" t="str">
            <v>PB</v>
          </cell>
        </row>
        <row r="696">
          <cell r="B696" t="str">
            <v>SNKO</v>
          </cell>
          <cell r="C696" t="str">
            <v>BROTAS DE MACAÚBAS</v>
          </cell>
          <cell r="D696" t="str">
            <v>BA0055_2904506</v>
          </cell>
          <cell r="E696" t="str">
            <v>BROTAS DE MACAÚBAS</v>
          </cell>
          <cell r="F696" t="str">
            <v>BA</v>
          </cell>
        </row>
        <row r="697">
          <cell r="B697" t="str">
            <v>SBES</v>
          </cell>
          <cell r="C697" t="str">
            <v>TENENTE JORGE HENRIQUE MÖLLER</v>
          </cell>
          <cell r="D697" t="str">
            <v>RJ9001_3305208</v>
          </cell>
          <cell r="E697" t="str">
            <v>São Pedro da Aldeia</v>
          </cell>
          <cell r="F697" t="str">
            <v>RJ</v>
          </cell>
        </row>
        <row r="698">
          <cell r="B698" t="str">
            <v>SSPG</v>
          </cell>
          <cell r="C698" t="str">
            <v>SANTOS DUMONT</v>
          </cell>
          <cell r="D698" t="str">
            <v>PR0011_4118204</v>
          </cell>
          <cell r="E698" t="str">
            <v>PARANAGUÁ</v>
          </cell>
          <cell r="F698" t="str">
            <v>PR</v>
          </cell>
        </row>
        <row r="699">
          <cell r="B699" t="str">
            <v>SNBA</v>
          </cell>
          <cell r="C699" t="str">
            <v>CHAFEI AMSEI</v>
          </cell>
          <cell r="D699" t="str">
            <v>SP0013_3505500</v>
          </cell>
          <cell r="E699" t="str">
            <v>BARRETOS</v>
          </cell>
          <cell r="F699" t="str">
            <v>SP</v>
          </cell>
        </row>
        <row r="700">
          <cell r="B700" t="str">
            <v>SSAP</v>
          </cell>
          <cell r="C700" t="str">
            <v>CAPITÃO JOÃO BUSSE</v>
          </cell>
          <cell r="D700" t="str">
            <v>PR0014_4101408</v>
          </cell>
          <cell r="E700" t="str">
            <v>APUCARANA</v>
          </cell>
          <cell r="F700" t="str">
            <v>PR</v>
          </cell>
        </row>
        <row r="701">
          <cell r="B701" t="str">
            <v>N378</v>
          </cell>
          <cell r="C701" t="str">
            <v>AEROPORTO PRÉ-PLANEJADO FORA DE SEDE DE UTP</v>
          </cell>
          <cell r="D701" t="str">
            <v>RJ-019_3305505</v>
          </cell>
          <cell r="E701" t="str">
            <v>SAQUAREMA</v>
          </cell>
          <cell r="F701" t="str">
            <v>RJ</v>
          </cell>
        </row>
        <row r="702">
          <cell r="B702" t="str">
            <v>N262</v>
          </cell>
          <cell r="C702" t="str">
            <v>AEROPORTO PRÉ-PLANEJADO EM SEDE DE UTP</v>
          </cell>
          <cell r="D702" t="str">
            <v>SP-018_3527207</v>
          </cell>
          <cell r="E702" t="str">
            <v>LORENA</v>
          </cell>
          <cell r="F702" t="str">
            <v>SP</v>
          </cell>
        </row>
        <row r="703">
          <cell r="B703" t="str">
            <v>SSOI</v>
          </cell>
          <cell r="C703" t="str">
            <v>PEDERNEIRAS</v>
          </cell>
          <cell r="D703" t="str">
            <v>SP0043_3536703</v>
          </cell>
          <cell r="E703" t="str">
            <v>PEDERNEIRAS</v>
          </cell>
          <cell r="F703" t="str">
            <v>SP</v>
          </cell>
        </row>
        <row r="704">
          <cell r="B704" t="str">
            <v>N886</v>
          </cell>
          <cell r="C704" t="str">
            <v>AEROPORTO PRÉ-PLANEJADO EM SEDE DE UTP</v>
          </cell>
          <cell r="D704" t="str">
            <v>RN-008_2414902</v>
          </cell>
          <cell r="E704" t="str">
            <v>VIÇOSA</v>
          </cell>
          <cell r="F704" t="str">
            <v>RN</v>
          </cell>
        </row>
        <row r="705">
          <cell r="B705" t="str">
            <v>SDIV</v>
          </cell>
          <cell r="C705" t="str">
            <v>ITUVERAVA</v>
          </cell>
          <cell r="D705" t="str">
            <v>SP0056_3524105</v>
          </cell>
          <cell r="E705" t="str">
            <v>ITUVERAVA</v>
          </cell>
          <cell r="F705" t="str">
            <v>SP</v>
          </cell>
        </row>
        <row r="706">
          <cell r="B706" t="str">
            <v>SDVE</v>
          </cell>
          <cell r="C706" t="str">
            <v>VERA CRUZ</v>
          </cell>
          <cell r="D706" t="str">
            <v>SP0070_3556602</v>
          </cell>
          <cell r="E706" t="str">
            <v>VERA CRUZ</v>
          </cell>
          <cell r="F706" t="str">
            <v>SP</v>
          </cell>
        </row>
        <row r="707">
          <cell r="B707" t="str">
            <v>SSPY</v>
          </cell>
          <cell r="C707" t="str">
            <v>PORTO ÍNDIO</v>
          </cell>
          <cell r="D707" t="str">
            <v>MS9001_5003207</v>
          </cell>
          <cell r="E707" t="str">
            <v>Corumbá</v>
          </cell>
          <cell r="F707" t="str">
            <v>MS</v>
          </cell>
        </row>
        <row r="708">
          <cell r="B708" t="str">
            <v>N253</v>
          </cell>
          <cell r="C708" t="str">
            <v>AEROPORTO PRÉ-PLANEJADO EM SEDE DE UTP</v>
          </cell>
          <cell r="D708" t="str">
            <v>PB-009_2500700</v>
          </cell>
          <cell r="E708" t="str">
            <v>SÃO JOÃO DO RIO DO PEIXE</v>
          </cell>
          <cell r="F708" t="str">
            <v>PB</v>
          </cell>
        </row>
        <row r="709">
          <cell r="B709" t="str">
            <v>SDNO</v>
          </cell>
          <cell r="C709" t="str">
            <v>NELSON GARÓFALO</v>
          </cell>
          <cell r="D709" t="str">
            <v>SP0061_3550100</v>
          </cell>
          <cell r="E709" t="str">
            <v>SÃO MANUEL</v>
          </cell>
          <cell r="F709" t="str">
            <v>SP</v>
          </cell>
        </row>
        <row r="710">
          <cell r="B710" t="str">
            <v>SDBY</v>
          </cell>
          <cell r="C710" t="str">
            <v>BARIRI</v>
          </cell>
          <cell r="D710" t="str">
            <v>SP0032_3505203</v>
          </cell>
          <cell r="E710" t="str">
            <v>BARIRI</v>
          </cell>
          <cell r="F710" t="str">
            <v>SP</v>
          </cell>
        </row>
        <row r="711">
          <cell r="B711" t="str">
            <v>N281</v>
          </cell>
          <cell r="C711" t="str">
            <v>AEROPORTO PRÉ-PLANEJADO EM SEDE DE UTP</v>
          </cell>
          <cell r="D711" t="str">
            <v>PR-006_4115705</v>
          </cell>
          <cell r="E711" t="str">
            <v>MATINHOS</v>
          </cell>
          <cell r="F711" t="str">
            <v>PR</v>
          </cell>
        </row>
        <row r="712">
          <cell r="B712" t="str">
            <v>N491</v>
          </cell>
          <cell r="C712" t="str">
            <v>AEROPORTO PRÉ-PLANEJADO FORA DE SEDE DE UTP</v>
          </cell>
          <cell r="D712" t="str">
            <v>MG-026_3147709</v>
          </cell>
          <cell r="E712" t="str">
            <v>PASSA TEMPO</v>
          </cell>
          <cell r="F712" t="str">
            <v>MG</v>
          </cell>
        </row>
        <row r="713">
          <cell r="B713" t="str">
            <v>SWXQ</v>
          </cell>
          <cell r="C713" t="str">
            <v>LINS</v>
          </cell>
          <cell r="D713" t="str">
            <v>SP0015_3527108</v>
          </cell>
          <cell r="E713" t="str">
            <v>LINS</v>
          </cell>
          <cell r="F713" t="str">
            <v>SP</v>
          </cell>
        </row>
        <row r="714">
          <cell r="B714" t="str">
            <v>SDMO</v>
          </cell>
          <cell r="C714" t="str">
            <v>MONTE ALTO</v>
          </cell>
          <cell r="D714" t="str">
            <v>SP0068_3531308</v>
          </cell>
          <cell r="E714" t="str">
            <v>MONTE ALTO</v>
          </cell>
          <cell r="F714" t="str">
            <v>SP</v>
          </cell>
        </row>
        <row r="715">
          <cell r="B715" t="str">
            <v>SSFK</v>
          </cell>
          <cell r="C715" t="str">
            <v>FORTE COIMBRA</v>
          </cell>
          <cell r="D715" t="str">
            <v>MS9002_5003207</v>
          </cell>
          <cell r="E715" t="str">
            <v>Corumbá</v>
          </cell>
          <cell r="F715" t="str">
            <v>MS</v>
          </cell>
        </row>
        <row r="716">
          <cell r="B716" t="str">
            <v>SBAQ</v>
          </cell>
          <cell r="C716" t="str">
            <v>BARTOLOMEU DE GUSMÃO</v>
          </cell>
          <cell r="D716" t="str">
            <v>SP0012_3503208</v>
          </cell>
          <cell r="E716" t="str">
            <v>ARARAQUARA</v>
          </cell>
          <cell r="F716" t="str">
            <v>SP</v>
          </cell>
        </row>
        <row r="717">
          <cell r="B717" t="str">
            <v>SJGU</v>
          </cell>
          <cell r="C717" t="str">
            <v>ARAGUATINS</v>
          </cell>
          <cell r="D717" t="str">
            <v>TO0005_1702208</v>
          </cell>
          <cell r="E717" t="str">
            <v>ARAGUATINS</v>
          </cell>
          <cell r="F717" t="str">
            <v>TO</v>
          </cell>
        </row>
        <row r="718">
          <cell r="B718" t="str">
            <v>N427</v>
          </cell>
          <cell r="C718" t="str">
            <v>AEROPORTO PRÉ-PLANEJADO EM SEDE DE UTP</v>
          </cell>
          <cell r="D718" t="str">
            <v>RS-026_4319901</v>
          </cell>
          <cell r="E718" t="str">
            <v>SAPIRANGA</v>
          </cell>
          <cell r="F718" t="str">
            <v>RS</v>
          </cell>
        </row>
        <row r="719">
          <cell r="B719" t="str">
            <v>N212</v>
          </cell>
          <cell r="C719" t="str">
            <v>AEROPORTO PRÉ-PLANEJADO EM SEDE DE UTP</v>
          </cell>
          <cell r="D719" t="str">
            <v>BA-017_2914802</v>
          </cell>
          <cell r="E719" t="str">
            <v>ITABUNA</v>
          </cell>
          <cell r="F719" t="str">
            <v>BA</v>
          </cell>
        </row>
        <row r="720">
          <cell r="B720" t="str">
            <v>N282</v>
          </cell>
          <cell r="C720" t="str">
            <v>AEROPORTO PRÉ-PLANEJADO EM SEDE DE UTP</v>
          </cell>
          <cell r="D720" t="str">
            <v>MG-020_3141108</v>
          </cell>
          <cell r="E720" t="str">
            <v>MATOZINHOS</v>
          </cell>
          <cell r="F720" t="str">
            <v>MG</v>
          </cell>
        </row>
        <row r="721">
          <cell r="B721" t="str">
            <v>N437</v>
          </cell>
          <cell r="C721" t="str">
            <v>AEROPORTO PRÉ-PLANEJADO EM SEDE DE UTP</v>
          </cell>
          <cell r="D721" t="str">
            <v>RS-028_4321204</v>
          </cell>
          <cell r="E721" t="str">
            <v>TAQUARA</v>
          </cell>
          <cell r="F721" t="str">
            <v>RS</v>
          </cell>
        </row>
        <row r="722">
          <cell r="B722" t="str">
            <v>N386</v>
          </cell>
          <cell r="C722" t="str">
            <v>AEROPORTO PRÉ-PLANEJADO EM SEDE DE UTP</v>
          </cell>
          <cell r="D722" t="str">
            <v>SP-023_3545605</v>
          </cell>
          <cell r="E722" t="str">
            <v>SANTA ADÉLIA</v>
          </cell>
          <cell r="F722" t="str">
            <v>SP</v>
          </cell>
        </row>
        <row r="723">
          <cell r="B723" t="str">
            <v>SDZG</v>
          </cell>
          <cell r="C723" t="str">
            <v>PEDRO TEIXEIRA CASTELO REGIONAL TAUÁ</v>
          </cell>
          <cell r="D723" t="str">
            <v>CE0008_2313302</v>
          </cell>
          <cell r="E723" t="str">
            <v>TAUÁ</v>
          </cell>
          <cell r="F723" t="str">
            <v>CE</v>
          </cell>
        </row>
        <row r="724">
          <cell r="B724" t="str">
            <v>SDPD</v>
          </cell>
          <cell r="C724" t="str">
            <v>PINDAMONHANGABA</v>
          </cell>
          <cell r="D724" t="str">
            <v>SP0072_3538006</v>
          </cell>
          <cell r="E724" t="str">
            <v>PINDAMONHANGABA</v>
          </cell>
          <cell r="F724" t="str">
            <v>SP</v>
          </cell>
        </row>
        <row r="725">
          <cell r="B725" t="str">
            <v>SDBB</v>
          </cell>
          <cell r="C725" t="str">
            <v>BEBEDOURO</v>
          </cell>
          <cell r="D725" t="str">
            <v>SP0018_3506102</v>
          </cell>
          <cell r="E725" t="str">
            <v>BEBEDOURO</v>
          </cell>
          <cell r="F725" t="str">
            <v>SP</v>
          </cell>
        </row>
        <row r="726">
          <cell r="B726" t="str">
            <v>N124</v>
          </cell>
          <cell r="C726" t="str">
            <v>AEROPORTO PRÉ-PLANEJADO EM SEDE DE UTP</v>
          </cell>
          <cell r="D726" t="str">
            <v>RS-006_4305355</v>
          </cell>
          <cell r="E726" t="str">
            <v>CHARQUEADAS</v>
          </cell>
          <cell r="F726" t="str">
            <v>RS</v>
          </cell>
        </row>
        <row r="727">
          <cell r="B727" t="str">
            <v>N454</v>
          </cell>
          <cell r="C727" t="str">
            <v>AEROPORTO PRÉ-PLANEJADO EM SEDE DE UTP</v>
          </cell>
          <cell r="D727" t="str">
            <v>RJ-021_3306008</v>
          </cell>
          <cell r="E727" t="str">
            <v>TRÊS RIOS</v>
          </cell>
          <cell r="F727" t="str">
            <v>RJ</v>
          </cell>
        </row>
        <row r="728">
          <cell r="B728" t="str">
            <v>SNKF</v>
          </cell>
          <cell r="C728" t="str">
            <v>DAS BANDEIRINHAS</v>
          </cell>
          <cell r="D728" t="str">
            <v>MG0071_3118304</v>
          </cell>
          <cell r="E728" t="str">
            <v>CONSELHEIRO LAFAIETE</v>
          </cell>
          <cell r="F728" t="str">
            <v>MG</v>
          </cell>
        </row>
        <row r="729">
          <cell r="B729" t="str">
            <v>SWAY</v>
          </cell>
          <cell r="C729" t="str">
            <v>PIRIPIRI</v>
          </cell>
          <cell r="D729" t="str">
            <v>PI0068_2208403</v>
          </cell>
          <cell r="E729" t="str">
            <v>PIRIPIRI</v>
          </cell>
          <cell r="F729" t="str">
            <v>PI</v>
          </cell>
        </row>
        <row r="730">
          <cell r="B730" t="str">
            <v>SSKJ</v>
          </cell>
          <cell r="C730" t="str">
            <v>PAU DOS FERROS</v>
          </cell>
          <cell r="D730" t="str">
            <v>RN0012_2409407</v>
          </cell>
          <cell r="E730" t="str">
            <v>PAU DOS FERROS</v>
          </cell>
          <cell r="F730" t="str">
            <v>RN</v>
          </cell>
        </row>
        <row r="731">
          <cell r="B731" t="str">
            <v>N667</v>
          </cell>
          <cell r="C731" t="str">
            <v>AEROPORTO PRÉ-PLANEJADO EM SEDE DE UTP</v>
          </cell>
          <cell r="D731" t="str">
            <v>CE-004_2306553</v>
          </cell>
          <cell r="E731" t="str">
            <v>ITAREMA</v>
          </cell>
          <cell r="F731" t="str">
            <v>CE</v>
          </cell>
        </row>
        <row r="732">
          <cell r="B732" t="str">
            <v>SBAN</v>
          </cell>
          <cell r="C732" t="str">
            <v>CAMPO MARECHAL MÁRCIO DE SOUZA E MELLO</v>
          </cell>
          <cell r="D732" t="str">
            <v>GO9001_5201108</v>
          </cell>
          <cell r="E732" t="str">
            <v>Anápolis</v>
          </cell>
          <cell r="F732" t="str">
            <v>GO</v>
          </cell>
        </row>
        <row r="733">
          <cell r="B733" t="str">
            <v>N226</v>
          </cell>
          <cell r="C733" t="str">
            <v>AEROPORTO PRÉ-PLANEJADO EM SEDE DE UTP</v>
          </cell>
          <cell r="D733" t="str">
            <v>RS-013_4310801</v>
          </cell>
          <cell r="E733" t="str">
            <v>IVOTI</v>
          </cell>
          <cell r="F733" t="str">
            <v>RS</v>
          </cell>
        </row>
        <row r="734">
          <cell r="B734" t="str">
            <v>SWSX</v>
          </cell>
          <cell r="C734" t="str">
            <v>XINGUARA</v>
          </cell>
          <cell r="D734" t="str">
            <v>PA0150_1508407</v>
          </cell>
          <cell r="E734" t="str">
            <v>XINGUARA</v>
          </cell>
          <cell r="F734" t="str">
            <v>PA</v>
          </cell>
        </row>
        <row r="735">
          <cell r="B735" t="str">
            <v>SNOF</v>
          </cell>
          <cell r="C735" t="str">
            <v>OURO FINO</v>
          </cell>
          <cell r="D735" t="str">
            <v>MG0057_3146008</v>
          </cell>
          <cell r="E735" t="str">
            <v>OURO FINO</v>
          </cell>
          <cell r="F735" t="str">
            <v>MG</v>
          </cell>
        </row>
        <row r="736">
          <cell r="B736" t="str">
            <v>N149</v>
          </cell>
          <cell r="C736" t="str">
            <v>AEROPORTO PRÉ-PLANEJADO EM SEDE DE UTP</v>
          </cell>
          <cell r="D736" t="str">
            <v>MA-011_2104057</v>
          </cell>
          <cell r="E736" t="str">
            <v>ESTREITO</v>
          </cell>
          <cell r="F736" t="str">
            <v>MA</v>
          </cell>
        </row>
        <row r="737">
          <cell r="B737" t="str">
            <v>N295</v>
          </cell>
          <cell r="C737" t="str">
            <v>AEROPORTO PRÉ-PLANEJADO EM SEDE DE UTP</v>
          </cell>
          <cell r="D737" t="str">
            <v>RJ-014_3303401</v>
          </cell>
          <cell r="E737" t="str">
            <v>NOVA FRIBURGO</v>
          </cell>
          <cell r="F737" t="str">
            <v>RJ</v>
          </cell>
        </row>
        <row r="738">
          <cell r="B738" t="str">
            <v>SNDT</v>
          </cell>
          <cell r="C738" t="str">
            <v>JUSCELINO KUBITSCHEK</v>
          </cell>
          <cell r="D738" t="str">
            <v>MG0030_3121605</v>
          </cell>
          <cell r="E738" t="str">
            <v>DIAMANTINA</v>
          </cell>
          <cell r="F738" t="str">
            <v>MG</v>
          </cell>
        </row>
        <row r="739">
          <cell r="B739" t="str">
            <v>SSGA</v>
          </cell>
          <cell r="C739" t="str">
            <v>GARIBALDI</v>
          </cell>
          <cell r="D739" t="str">
            <v>RS0020_4308607</v>
          </cell>
          <cell r="E739" t="str">
            <v>GARIBALDI</v>
          </cell>
          <cell r="F739" t="str">
            <v>RS</v>
          </cell>
        </row>
        <row r="740">
          <cell r="B740" t="str">
            <v>SSLN</v>
          </cell>
          <cell r="C740" t="str">
            <v>HELMUTH BAUNGARTEM</v>
          </cell>
          <cell r="D740" t="str">
            <v>SC0018_4209904</v>
          </cell>
          <cell r="E740" t="str">
            <v>LONTRAS</v>
          </cell>
          <cell r="F740" t="str">
            <v>SC</v>
          </cell>
        </row>
        <row r="741">
          <cell r="B741" t="str">
            <v>SNQD</v>
          </cell>
          <cell r="C741" t="str">
            <v>SOUSA</v>
          </cell>
          <cell r="D741" t="str">
            <v>PB0006_2516201</v>
          </cell>
          <cell r="E741" t="str">
            <v>SOUSA</v>
          </cell>
          <cell r="F741" t="str">
            <v>PB</v>
          </cell>
        </row>
        <row r="742">
          <cell r="B742" t="str">
            <v>SDBK</v>
          </cell>
          <cell r="C742" t="str">
            <v>TANCREDO DE ALMEIDA NEVES</v>
          </cell>
          <cell r="D742" t="str">
            <v>SP0019_3507506</v>
          </cell>
          <cell r="E742" t="str">
            <v>BOTUCATU</v>
          </cell>
          <cell r="F742" t="str">
            <v>SP</v>
          </cell>
        </row>
        <row r="743">
          <cell r="B743" t="str">
            <v>SNJM</v>
          </cell>
          <cell r="C743" t="str">
            <v>REGIONAL DE SANTO AMARO DE MINAS</v>
          </cell>
          <cell r="D743" t="str">
            <v>MG0050_3139409</v>
          </cell>
          <cell r="E743" t="str">
            <v>MANHUAÇU</v>
          </cell>
          <cell r="F743" t="str">
            <v>MG</v>
          </cell>
        </row>
        <row r="744">
          <cell r="B744" t="str">
            <v>N335</v>
          </cell>
          <cell r="C744" t="str">
            <v>AEROPORTO PRÉ-PLANEJADO FORA DE SEDE DE UTP</v>
          </cell>
          <cell r="D744" t="str">
            <v>BA-014_2910602</v>
          </cell>
          <cell r="E744" t="str">
            <v>ESPLANADA</v>
          </cell>
          <cell r="F744" t="str">
            <v>BA</v>
          </cell>
        </row>
        <row r="745">
          <cell r="B745" t="str">
            <v>SSRF</v>
          </cell>
          <cell r="C745" t="str">
            <v>CASTRO ALVES</v>
          </cell>
          <cell r="D745" t="str">
            <v>BA0034_2907301</v>
          </cell>
          <cell r="E745" t="str">
            <v>CASTRO ALVES</v>
          </cell>
          <cell r="F745" t="str">
            <v>BA</v>
          </cell>
        </row>
        <row r="746">
          <cell r="B746" t="str">
            <v>N445</v>
          </cell>
          <cell r="C746" t="str">
            <v>AEROPORTO PRÉ-PLANEJADO EM SEDE DE UTP</v>
          </cell>
          <cell r="D746" t="str">
            <v>RJ-020_3305802</v>
          </cell>
          <cell r="E746" t="str">
            <v>TERESÓPOLIS</v>
          </cell>
          <cell r="F746" t="str">
            <v>RJ</v>
          </cell>
        </row>
        <row r="747">
          <cell r="B747" t="str">
            <v>SJZA</v>
          </cell>
          <cell r="C747" t="str">
            <v>PEDRO VIEIRA MOREIRA</v>
          </cell>
          <cell r="D747" t="str">
            <v>PB0004_2503704</v>
          </cell>
          <cell r="E747" t="str">
            <v>CAJAZEIRAS</v>
          </cell>
          <cell r="F747" t="str">
            <v>PB</v>
          </cell>
        </row>
        <row r="748">
          <cell r="B748" t="str">
            <v>SDAE</v>
          </cell>
          <cell r="C748" t="str">
            <v>SÃO PEDRO</v>
          </cell>
          <cell r="D748" t="str">
            <v>SP0053_3550407</v>
          </cell>
          <cell r="E748" t="str">
            <v>SÃO PEDRO</v>
          </cell>
          <cell r="F748" t="str">
            <v>SP</v>
          </cell>
        </row>
        <row r="749">
          <cell r="B749" t="str">
            <v>N560</v>
          </cell>
          <cell r="C749" t="str">
            <v>AEROPORTO PRÉ-PLANEJADO FORA DE SEDE DE UTP</v>
          </cell>
          <cell r="D749" t="str">
            <v>RJ-015_3303500</v>
          </cell>
          <cell r="E749" t="str">
            <v>NOVA IGUAÇU</v>
          </cell>
          <cell r="F749" t="str">
            <v>RJ</v>
          </cell>
        </row>
        <row r="750">
          <cell r="B750" t="str">
            <v>SBGW</v>
          </cell>
          <cell r="C750" t="str">
            <v>GUARATINGUETÁ</v>
          </cell>
          <cell r="D750" t="str">
            <v>SP0076_3518404</v>
          </cell>
          <cell r="E750" t="str">
            <v>GUARATINGUETÁ</v>
          </cell>
          <cell r="F750" t="str">
            <v>SP</v>
          </cell>
        </row>
        <row r="751">
          <cell r="B751" t="str">
            <v>N739</v>
          </cell>
          <cell r="C751" t="str">
            <v>AEROPORTO PRÉ-PLANEJADO EM SEDE DE UTP</v>
          </cell>
          <cell r="D751" t="str">
            <v>SC-016_4216503</v>
          </cell>
          <cell r="E751" t="str">
            <v>SÃO JOAQUIM</v>
          </cell>
          <cell r="F751" t="str">
            <v>SC</v>
          </cell>
        </row>
        <row r="752">
          <cell r="B752" t="str">
            <v>SDLP</v>
          </cell>
          <cell r="C752" t="str">
            <v>MUNICIPAL JOSÉ BOSO</v>
          </cell>
          <cell r="D752" t="str">
            <v>SP0034_3526803</v>
          </cell>
          <cell r="E752" t="str">
            <v>LENÇÓIS PAULISTA</v>
          </cell>
          <cell r="F752" t="str">
            <v>SP</v>
          </cell>
        </row>
        <row r="753">
          <cell r="B753" t="str">
            <v>N304</v>
          </cell>
          <cell r="C753" t="str">
            <v>AEROPORTO PRÉ-PLANEJADO FORA DE SEDE DE UTP</v>
          </cell>
          <cell r="D753" t="str">
            <v>BA-002_2901007</v>
          </cell>
          <cell r="E753" t="str">
            <v>AMARGOSA</v>
          </cell>
          <cell r="F753" t="str">
            <v>BA</v>
          </cell>
        </row>
        <row r="754">
          <cell r="B754" t="str">
            <v>N358</v>
          </cell>
          <cell r="C754" t="str">
            <v>AEROPORTO PRÉ-PLANEJADO EM SEDE DE UTP</v>
          </cell>
          <cell r="D754" t="str">
            <v>SC-013_4213807</v>
          </cell>
          <cell r="E754" t="str">
            <v>PRAIA GRANDE</v>
          </cell>
          <cell r="F754" t="str">
            <v>SC</v>
          </cell>
        </row>
        <row r="755">
          <cell r="B755" t="str">
            <v>N236</v>
          </cell>
          <cell r="C755" t="str">
            <v>AEROPORTO PRÉ-PLANEJADO FORA DE SEDE DE UTP</v>
          </cell>
          <cell r="D755" t="str">
            <v>CE-007_2308708</v>
          </cell>
          <cell r="E755" t="str">
            <v>MORADA NOVA</v>
          </cell>
          <cell r="F755" t="str">
            <v>CE</v>
          </cell>
        </row>
        <row r="756">
          <cell r="B756" t="str">
            <v>SDJC</v>
          </cell>
          <cell r="C756" t="str">
            <v>JABOTICABAL</v>
          </cell>
          <cell r="D756" t="str">
            <v>SP0064_3524303</v>
          </cell>
          <cell r="E756" t="str">
            <v>JABOTICABAL</v>
          </cell>
          <cell r="F756" t="str">
            <v>SP</v>
          </cell>
        </row>
        <row r="757">
          <cell r="B757" t="str">
            <v>N235</v>
          </cell>
          <cell r="C757" t="str">
            <v>AEROPORTO PRÉ-PLANEJADO EM SEDE DE UTP</v>
          </cell>
          <cell r="D757" t="str">
            <v>SP-016_3525300</v>
          </cell>
          <cell r="E757" t="str">
            <v>JAÚ</v>
          </cell>
          <cell r="F757" t="str">
            <v>SP</v>
          </cell>
        </row>
        <row r="758">
          <cell r="B758" t="str">
            <v>N592</v>
          </cell>
          <cell r="C758" t="str">
            <v>AEROPORTO PRÉ-PLANEJADO FORA DE SEDE DE UTP</v>
          </cell>
          <cell r="D758" t="str">
            <v>SP-005_3505906</v>
          </cell>
          <cell r="E758" t="str">
            <v>BATATAIS</v>
          </cell>
          <cell r="F758" t="str">
            <v>SP</v>
          </cell>
        </row>
        <row r="759">
          <cell r="B759" t="str">
            <v>N566</v>
          </cell>
          <cell r="C759" t="str">
            <v>AEROPORTO PRÉ-PLANEJADO EM SEDE DE UTP</v>
          </cell>
          <cell r="D759" t="str">
            <v>PA-009_1502152</v>
          </cell>
          <cell r="E759" t="str">
            <v>CANAÃ DOS CARAJÁS</v>
          </cell>
          <cell r="F759" t="str">
            <v>PA</v>
          </cell>
        </row>
        <row r="760">
          <cell r="B760" t="str">
            <v>N478</v>
          </cell>
          <cell r="C760" t="str">
            <v>AEROPORTO PRÉ-PLANEJADO EM SEDE DE UTP</v>
          </cell>
          <cell r="D760" t="str">
            <v>BA-033_2933208</v>
          </cell>
          <cell r="E760" t="str">
            <v>VERA CRUZ</v>
          </cell>
          <cell r="F760" t="str">
            <v>BA</v>
          </cell>
        </row>
        <row r="761">
          <cell r="B761" t="str">
            <v>N101</v>
          </cell>
          <cell r="C761" t="str">
            <v>AEROPORTO PRÉ-PLANEJADO FORA DE SEDE DE UTP</v>
          </cell>
          <cell r="D761" t="str">
            <v>RS-011_4309100</v>
          </cell>
          <cell r="E761" t="str">
            <v>GRAMADO</v>
          </cell>
          <cell r="F761" t="str">
            <v>RS</v>
          </cell>
        </row>
        <row r="762">
          <cell r="B762" t="str">
            <v>SNWC</v>
          </cell>
          <cell r="C762" t="str">
            <v>CAMOCIM</v>
          </cell>
          <cell r="D762" t="str">
            <v>CE0011_2302602</v>
          </cell>
          <cell r="E762" t="str">
            <v>CAMOCIM</v>
          </cell>
          <cell r="F762" t="str">
            <v>CE</v>
          </cell>
        </row>
        <row r="763">
          <cell r="B763" t="str">
            <v>SNQV</v>
          </cell>
          <cell r="C763" t="str">
            <v>CURVELO</v>
          </cell>
          <cell r="D763" t="str">
            <v>MG0044_3120904</v>
          </cell>
          <cell r="E763" t="str">
            <v>CURVELO</v>
          </cell>
          <cell r="F763" t="str">
            <v>MG</v>
          </cell>
        </row>
        <row r="764">
          <cell r="B764" t="str">
            <v>SDRR</v>
          </cell>
          <cell r="C764" t="str">
            <v>AVARÉ-ARANDU</v>
          </cell>
          <cell r="D764" t="str">
            <v>SP0028_3504503</v>
          </cell>
          <cell r="E764" t="str">
            <v>AVARÉ</v>
          </cell>
          <cell r="F764" t="str">
            <v>SP</v>
          </cell>
        </row>
        <row r="765">
          <cell r="B765" t="str">
            <v>SNWS</v>
          </cell>
          <cell r="C765" t="str">
            <v>CRATEÚS</v>
          </cell>
          <cell r="D765" t="str">
            <v>CE0005_2304103</v>
          </cell>
          <cell r="E765" t="str">
            <v>CRATEÚS</v>
          </cell>
          <cell r="F765" t="str">
            <v>CE</v>
          </cell>
        </row>
        <row r="766">
          <cell r="B766" t="str">
            <v>SBTA</v>
          </cell>
          <cell r="C766" t="str">
            <v>BASE DE AVIAÇÃO DE TAUBATÉ</v>
          </cell>
          <cell r="D766" t="str">
            <v>SP9004_3554102</v>
          </cell>
          <cell r="E766" t="str">
            <v>Taubaté</v>
          </cell>
          <cell r="F766" t="str">
            <v>SP</v>
          </cell>
        </row>
        <row r="767">
          <cell r="B767" t="str">
            <v>SBBU</v>
          </cell>
          <cell r="C767" t="str">
            <v>BAURU</v>
          </cell>
          <cell r="D767" t="str">
            <v>SP0017_3506003</v>
          </cell>
          <cell r="E767" t="str">
            <v>BAURU</v>
          </cell>
          <cell r="F767" t="str">
            <v>SP</v>
          </cell>
        </row>
        <row r="768">
          <cell r="B768" t="str">
            <v>N238</v>
          </cell>
          <cell r="C768" t="str">
            <v>AEROPORTO PRÉ-PLANEJADO EM SEDE DE UTP</v>
          </cell>
          <cell r="D768" t="str">
            <v>CE-008_2311801</v>
          </cell>
          <cell r="E768" t="str">
            <v>RUSSAS</v>
          </cell>
          <cell r="F768" t="str">
            <v>CE</v>
          </cell>
        </row>
        <row r="769">
          <cell r="B769" t="str">
            <v>SBJF</v>
          </cell>
          <cell r="C769" t="str">
            <v>FRANCISCO DE ASSIS</v>
          </cell>
          <cell r="D769" t="str">
            <v>MG0016_3136702</v>
          </cell>
          <cell r="E769" t="str">
            <v>JUIZ DE FORA</v>
          </cell>
          <cell r="F769" t="str">
            <v>MG</v>
          </cell>
        </row>
        <row r="770">
          <cell r="B770" t="str">
            <v>N333</v>
          </cell>
          <cell r="C770" t="str">
            <v>AEROPORTO PRÉ-PLANEJADO EM SEDE DE UTP</v>
          </cell>
          <cell r="D770" t="str">
            <v>RJ-017_3303906</v>
          </cell>
          <cell r="E770" t="str">
            <v>PETRÓPOLIS</v>
          </cell>
          <cell r="F770" t="str">
            <v>RJ</v>
          </cell>
        </row>
        <row r="771">
          <cell r="B771" t="str">
            <v>SSOS</v>
          </cell>
          <cell r="C771" t="str">
            <v>OSÓRIO</v>
          </cell>
          <cell r="D771" t="str">
            <v>RS0042_4313508</v>
          </cell>
          <cell r="E771" t="str">
            <v>OSÓRIO</v>
          </cell>
          <cell r="F771" t="str">
            <v>RS</v>
          </cell>
        </row>
        <row r="772">
          <cell r="B772" t="str">
            <v>SSAQ</v>
          </cell>
          <cell r="C772" t="str">
            <v>AEROCLUBE DE PASSO FUNDO</v>
          </cell>
          <cell r="D772" t="str">
            <v>RS0036_4314100</v>
          </cell>
          <cell r="E772" t="str">
            <v>PASSO FUNDO</v>
          </cell>
          <cell r="F772" t="str">
            <v>RS</v>
          </cell>
        </row>
        <row r="773">
          <cell r="B773" t="str">
            <v>N404</v>
          </cell>
          <cell r="C773" t="str">
            <v>AEROPORTO PRÉ-PLANEJADO EM SEDE DE UTP</v>
          </cell>
          <cell r="D773" t="str">
            <v>SC-014_4215802</v>
          </cell>
          <cell r="E773" t="str">
            <v>SÃO BENTO DO SUL</v>
          </cell>
          <cell r="F773" t="str">
            <v>SC</v>
          </cell>
        </row>
        <row r="774">
          <cell r="B774" t="str">
            <v>SBLS</v>
          </cell>
          <cell r="C774" t="str">
            <v>LAGOA SANTA</v>
          </cell>
          <cell r="D774" t="str">
            <v>MG9001_3137601</v>
          </cell>
          <cell r="E774" t="str">
            <v>Lagoa Santa</v>
          </cell>
          <cell r="F774" t="str">
            <v>MG</v>
          </cell>
        </row>
        <row r="775">
          <cell r="B775" t="str">
            <v>SNQX</v>
          </cell>
          <cell r="C775" t="str">
            <v>QUIXADÁ</v>
          </cell>
          <cell r="D775" t="str">
            <v>CE0010_2311306</v>
          </cell>
          <cell r="E775" t="str">
            <v>QUIXADÁ</v>
          </cell>
          <cell r="F775" t="str">
            <v>CE</v>
          </cell>
        </row>
        <row r="776">
          <cell r="B776" t="str">
            <v>SDTF</v>
          </cell>
          <cell r="C776" t="str">
            <v>TATUÍ</v>
          </cell>
          <cell r="D776" t="str">
            <v>SP0050_3554003</v>
          </cell>
          <cell r="E776" t="str">
            <v>TATUÍ</v>
          </cell>
          <cell r="F776" t="str">
            <v>SP</v>
          </cell>
        </row>
        <row r="777">
          <cell r="B777" t="str">
            <v>N072</v>
          </cell>
          <cell r="C777" t="str">
            <v>AEROPORTO PRÉ-PLANEJADO EM SEDE DE UTP</v>
          </cell>
          <cell r="D777" t="str">
            <v>SP-006_3507001</v>
          </cell>
          <cell r="E777" t="str">
            <v>BOITUVA</v>
          </cell>
          <cell r="F777" t="str">
            <v>SP</v>
          </cell>
        </row>
        <row r="778">
          <cell r="B778" t="str">
            <v>N733</v>
          </cell>
          <cell r="C778" t="str">
            <v>AEROPORTO PRÉ-PLANEJADO EM SEDE DE UTP</v>
          </cell>
          <cell r="D778" t="str">
            <v>SC-010_4209409</v>
          </cell>
          <cell r="E778" t="str">
            <v>LAGUNA</v>
          </cell>
          <cell r="F778" t="str">
            <v>SC</v>
          </cell>
        </row>
        <row r="779">
          <cell r="B779" t="str">
            <v>SSSS</v>
          </cell>
          <cell r="C779" t="str">
            <v>SÃO FRANCISCO DO SUL</v>
          </cell>
          <cell r="D779" t="str">
            <v>SC0022_4216206</v>
          </cell>
          <cell r="E779" t="str">
            <v>SÃO FRANCISCO DO SUL</v>
          </cell>
          <cell r="F779" t="str">
            <v>SC</v>
          </cell>
        </row>
        <row r="780">
          <cell r="B780" t="str">
            <v>SSKK</v>
          </cell>
          <cell r="C780" t="str">
            <v>CAPÃO DA CANOA</v>
          </cell>
          <cell r="D780" t="str">
            <v>RS0052_4304630</v>
          </cell>
          <cell r="E780" t="str">
            <v>CAPÃO DA CANOA</v>
          </cell>
          <cell r="F780" t="str">
            <v>RS</v>
          </cell>
        </row>
        <row r="781">
          <cell r="B781" t="str">
            <v>N176</v>
          </cell>
          <cell r="C781" t="str">
            <v>AEROPORTO PRÉ-PLANEJADO EM SEDE DE UTP</v>
          </cell>
          <cell r="D781" t="str">
            <v>SC-005_4207304</v>
          </cell>
          <cell r="E781" t="str">
            <v>IMBITUBA</v>
          </cell>
          <cell r="F781" t="str">
            <v>SC</v>
          </cell>
        </row>
        <row r="782">
          <cell r="B782" t="str">
            <v>N007</v>
          </cell>
          <cell r="C782" t="str">
            <v>AEROPORTO PRÉ-PLANEJADO EM SEDE DE UTP</v>
          </cell>
          <cell r="D782" t="str">
            <v>SP-001_3500501</v>
          </cell>
          <cell r="E782" t="str">
            <v>ÁGUAS DE LINDÓIA</v>
          </cell>
          <cell r="F782" t="str">
            <v>SP</v>
          </cell>
        </row>
        <row r="783">
          <cell r="B783" t="str">
            <v>N219</v>
          </cell>
          <cell r="C783" t="str">
            <v>AEROPORTO PRÉ-PLANEJADO EM SEDE DE UTP</v>
          </cell>
          <cell r="D783" t="str">
            <v>CE-003_2306405</v>
          </cell>
          <cell r="E783" t="str">
            <v>ITAPIPOCA</v>
          </cell>
          <cell r="F783" t="str">
            <v>CE</v>
          </cell>
        </row>
        <row r="784">
          <cell r="B784" t="str">
            <v>N083</v>
          </cell>
          <cell r="C784" t="str">
            <v>AEROPORTO PRÉ-PLANEJADO EM SEDE DE UTP</v>
          </cell>
          <cell r="D784" t="str">
            <v>SC-002_4202909</v>
          </cell>
          <cell r="E784" t="str">
            <v>BRUSQUE</v>
          </cell>
          <cell r="F784" t="str">
            <v>SC</v>
          </cell>
        </row>
        <row r="785">
          <cell r="B785" t="str">
            <v>N233</v>
          </cell>
          <cell r="C785" t="str">
            <v>AEROPORTO PRÉ-PLANEJADO EM SEDE DE UTP</v>
          </cell>
          <cell r="D785" t="str">
            <v>SC-009_4208906</v>
          </cell>
          <cell r="E785" t="str">
            <v>JARAGUÁ DO SUL</v>
          </cell>
          <cell r="F785" t="str">
            <v>SC</v>
          </cell>
        </row>
        <row r="786">
          <cell r="B786" t="str">
            <v>N115</v>
          </cell>
          <cell r="C786" t="str">
            <v>AEROPORTO PRÉ-PLANEJADO EM SEDE DE UTP</v>
          </cell>
          <cell r="D786" t="str">
            <v>PA-010_1502400</v>
          </cell>
          <cell r="E786" t="str">
            <v>CASTANHAL</v>
          </cell>
          <cell r="F786" t="str">
            <v>PA</v>
          </cell>
        </row>
        <row r="787">
          <cell r="B787" t="str">
            <v>N150</v>
          </cell>
          <cell r="C787" t="str">
            <v>AEROPORTO PRÉ-PLANEJADO EM SEDE DE UTP</v>
          </cell>
          <cell r="D787" t="str">
            <v>BA-016_2910727</v>
          </cell>
          <cell r="E787" t="str">
            <v>EUNÁPOLIS</v>
          </cell>
          <cell r="F787" t="str">
            <v>BA</v>
          </cell>
        </row>
        <row r="788">
          <cell r="B788" t="str">
            <v>SBNT</v>
          </cell>
          <cell r="C788" t="str">
            <v>CAMPO AUGUSTO SEVERO</v>
          </cell>
          <cell r="D788" t="str">
            <v>RN9001_2408102</v>
          </cell>
          <cell r="E788" t="str">
            <v>NATAL</v>
          </cell>
          <cell r="F788" t="str">
            <v>RN</v>
          </cell>
        </row>
        <row r="789">
          <cell r="B789" t="str">
            <v>N366</v>
          </cell>
          <cell r="C789" t="str">
            <v>AEROPORTO PRÉ-PLANEJADO FORA DE SEDE DE UTP</v>
          </cell>
          <cell r="D789" t="str">
            <v>CE-002_2302800</v>
          </cell>
          <cell r="E789" t="str">
            <v>CANINDÉ</v>
          </cell>
          <cell r="F789" t="str">
            <v>CE</v>
          </cell>
        </row>
        <row r="790">
          <cell r="B790" t="str">
            <v>N016</v>
          </cell>
          <cell r="C790" t="str">
            <v>AEROPORTO PRÉ-PLANEJADO EM SEDE DE UTP</v>
          </cell>
          <cell r="D790" t="str">
            <v>SP-002_3501905</v>
          </cell>
          <cell r="E790" t="str">
            <v>AMPARO</v>
          </cell>
          <cell r="F790" t="str">
            <v>SP</v>
          </cell>
        </row>
        <row r="791">
          <cell r="B791" t="str">
            <v>N264</v>
          </cell>
          <cell r="C791" t="str">
            <v>AEROPORTO PRÉ-PLANEJADO EM SEDE DE UTP</v>
          </cell>
          <cell r="D791" t="str">
            <v>AP-003_1600303</v>
          </cell>
          <cell r="E791" t="str">
            <v>MACAPÁ</v>
          </cell>
          <cell r="F791" t="str">
            <v>AP</v>
          </cell>
        </row>
        <row r="792">
          <cell r="B792" t="str">
            <v>N263</v>
          </cell>
          <cell r="C792" t="str">
            <v>AEROPORTO PRÉ-PLANEJADO EM SEDE DE UTP</v>
          </cell>
          <cell r="D792" t="str">
            <v>PB-006_2507507</v>
          </cell>
          <cell r="E792" t="str">
            <v>JOÃO PESSOA</v>
          </cell>
          <cell r="F792" t="str">
            <v>PB</v>
          </cell>
        </row>
        <row r="793">
          <cell r="B793" t="str">
            <v>SDIM</v>
          </cell>
          <cell r="C793" t="str">
            <v>DR. ANTONIO RIBEIRO NOGUEIRA JÚNIOR</v>
          </cell>
          <cell r="D793" t="str">
            <v>SP0033_3522109</v>
          </cell>
          <cell r="E793" t="str">
            <v>ITANHAÉM</v>
          </cell>
          <cell r="F793" t="str">
            <v>SP</v>
          </cell>
        </row>
        <row r="794">
          <cell r="B794" t="str">
            <v>SSIM</v>
          </cell>
          <cell r="C794" t="str">
            <v>FORQUILHINHA-CRICIÚMA</v>
          </cell>
          <cell r="D794" t="str">
            <v>SC0009_4205456</v>
          </cell>
          <cell r="E794" t="str">
            <v>FORQUILHINHA</v>
          </cell>
          <cell r="F794" t="str">
            <v>SC</v>
          </cell>
        </row>
        <row r="795">
          <cell r="B795" t="str">
            <v>N259</v>
          </cell>
          <cell r="C795" t="str">
            <v>AEROPORTO PRÉ-PLANEJADO EM SEDE DE UTP</v>
          </cell>
          <cell r="D795" t="str">
            <v>SP-017_3526902</v>
          </cell>
          <cell r="E795" t="str">
            <v>LIMEIRA</v>
          </cell>
          <cell r="F795" t="str">
            <v>SP</v>
          </cell>
        </row>
        <row r="796">
          <cell r="B796" t="str">
            <v>N217</v>
          </cell>
          <cell r="C796" t="str">
            <v>AEROPORTO PRÉ-PLANEJADO EM SEDE DE UTP</v>
          </cell>
          <cell r="D796" t="str">
            <v>SC-007_4208302</v>
          </cell>
          <cell r="E796" t="str">
            <v>ITAPEMA</v>
          </cell>
          <cell r="F796" t="str">
            <v>SC</v>
          </cell>
        </row>
        <row r="797">
          <cell r="B797" t="str">
            <v>N410</v>
          </cell>
          <cell r="C797" t="str">
            <v>AEROPORTO PRÉ-PLANEJADO EM SEDE DE UTP</v>
          </cell>
          <cell r="D797" t="str">
            <v>BA-034_2933307</v>
          </cell>
          <cell r="E797" t="str">
            <v>VITÓRIA DA CONQUISTA</v>
          </cell>
          <cell r="F797" t="str">
            <v>BA</v>
          </cell>
        </row>
        <row r="798">
          <cell r="B798" t="str">
            <v>N099</v>
          </cell>
          <cell r="C798" t="str">
            <v>AEROPORTO PRÉ-PLANEJADO EM SEDE DE UTP</v>
          </cell>
          <cell r="D798" t="str">
            <v>PA-013_1502939</v>
          </cell>
          <cell r="E798" t="str">
            <v>DOM ELISEU</v>
          </cell>
          <cell r="F798" t="str">
            <v>PA</v>
          </cell>
        </row>
        <row r="799">
          <cell r="B799" t="str">
            <v>SWRO</v>
          </cell>
          <cell r="C799" t="str">
            <v>AEROCLUBE DE RONDÔNIA</v>
          </cell>
          <cell r="D799" t="str">
            <v>RO0002_1100205</v>
          </cell>
          <cell r="E799" t="str">
            <v>PORTO VELHO</v>
          </cell>
          <cell r="F799" t="str">
            <v>RO</v>
          </cell>
        </row>
        <row r="800">
          <cell r="B800" t="str">
            <v>N224</v>
          </cell>
          <cell r="C800" t="str">
            <v>AEROPORTO PRÉ-PLANEJADO EM SEDE DE UTP</v>
          </cell>
          <cell r="D800" t="str">
            <v>SP-015_3523909</v>
          </cell>
          <cell r="E800" t="str">
            <v>ITU</v>
          </cell>
          <cell r="F800" t="str">
            <v>SP</v>
          </cell>
        </row>
        <row r="801">
          <cell r="B801" t="str">
            <v>N221</v>
          </cell>
          <cell r="C801" t="str">
            <v>AEROPORTO PRÉ-PLANEJADO EM SEDE DE UTP</v>
          </cell>
          <cell r="D801" t="str">
            <v>SP-014_3523404</v>
          </cell>
          <cell r="E801" t="str">
            <v>ITATIBA</v>
          </cell>
          <cell r="F801" t="str">
            <v>SP</v>
          </cell>
        </row>
        <row r="802">
          <cell r="B802" t="str">
            <v>N431</v>
          </cell>
          <cell r="C802" t="str">
            <v>AEROPORTO PRÉ-PLANEJADO EM SEDE DE UTP</v>
          </cell>
          <cell r="D802" t="str">
            <v>MG-039_3167202</v>
          </cell>
          <cell r="E802" t="str">
            <v>SETE LAGOAS</v>
          </cell>
          <cell r="F802" t="str">
            <v>MG</v>
          </cell>
        </row>
        <row r="803">
          <cell r="B803" t="str">
            <v>N423</v>
          </cell>
          <cell r="C803" t="str">
            <v>AEROPORTO PRÉ-PLANEJADO EM SEDE DE UTP</v>
          </cell>
          <cell r="D803" t="str">
            <v>MG-004_3106200</v>
          </cell>
          <cell r="E803" t="str">
            <v>BELO HORIZONTE</v>
          </cell>
          <cell r="F803" t="str">
            <v>MG</v>
          </cell>
        </row>
        <row r="804">
          <cell r="B804" t="str">
            <v>N090</v>
          </cell>
          <cell r="C804" t="str">
            <v>AEROPORTO PRÉ-PLANEJADO EM SEDE DE UTP</v>
          </cell>
          <cell r="D804" t="str">
            <v>PA-005_1501402</v>
          </cell>
          <cell r="E804" t="str">
            <v>BELÉM</v>
          </cell>
          <cell r="F804" t="str">
            <v>PA</v>
          </cell>
        </row>
        <row r="805">
          <cell r="B805" t="str">
            <v>SBMN</v>
          </cell>
          <cell r="C805" t="str">
            <v>CAMPO PONTA PELADA</v>
          </cell>
          <cell r="D805" t="str">
            <v>AM9001_1302603</v>
          </cell>
          <cell r="E805" t="str">
            <v>Manaus</v>
          </cell>
          <cell r="F805" t="str">
            <v>AM</v>
          </cell>
        </row>
        <row r="806">
          <cell r="B806" t="str">
            <v>SBCO</v>
          </cell>
          <cell r="C806" t="str">
            <v>CAMPO NOSSA SENHORA DE FÁTIMA</v>
          </cell>
          <cell r="D806" t="str">
            <v>RS9002_4304606</v>
          </cell>
          <cell r="E806" t="str">
            <v>CANOAS</v>
          </cell>
          <cell r="F806" t="str">
            <v>RS</v>
          </cell>
        </row>
        <row r="807">
          <cell r="B807" t="str">
            <v>SDMR</v>
          </cell>
          <cell r="C807" t="str">
            <v>MARAMBAIA</v>
          </cell>
          <cell r="D807" t="str">
            <v>RJ9005_3304557</v>
          </cell>
          <cell r="E807" t="str">
            <v>RIO DE JANEIRO</v>
          </cell>
          <cell r="F807" t="str">
            <v>RJ</v>
          </cell>
        </row>
        <row r="808">
          <cell r="B808" t="str">
            <v>SBSC</v>
          </cell>
          <cell r="C808" t="str">
            <v>CAMPO NERO MOURA</v>
          </cell>
          <cell r="D808" t="str">
            <v>RJ9003_3304557</v>
          </cell>
          <cell r="E808" t="str">
            <v>RIO DE JANEIRO</v>
          </cell>
          <cell r="F808" t="str">
            <v>RJ</v>
          </cell>
        </row>
        <row r="809">
          <cell r="B809" t="str">
            <v>SBAF</v>
          </cell>
          <cell r="C809" t="str">
            <v>CAMPO DÉLIO JARDIM DE MATTOS</v>
          </cell>
          <cell r="D809" t="str">
            <v>RJ9002_3304557</v>
          </cell>
          <cell r="E809" t="str">
            <v>RIO DE JANEIRO</v>
          </cell>
          <cell r="F809" t="str">
            <v>RJ</v>
          </cell>
        </row>
        <row r="810">
          <cell r="B810" t="str">
            <v>N941</v>
          </cell>
          <cell r="C810" t="str">
            <v>AEROPORTO PRÉ-PLANEJADO EM SEDE DE UTP</v>
          </cell>
          <cell r="D810" t="str">
            <v>DF-001_5300108</v>
          </cell>
          <cell r="E810" t="str">
            <v>BRASÍLIA</v>
          </cell>
          <cell r="F810" t="str">
            <v>DF</v>
          </cell>
        </row>
        <row r="811">
          <cell r="B811" t="str">
            <v>SJOD</v>
          </cell>
          <cell r="C811" t="str">
            <v>JORDÃO</v>
          </cell>
          <cell r="D811" t="str">
            <v>AC0009_1200328</v>
          </cell>
          <cell r="E811" t="str">
            <v>JORDÃO</v>
          </cell>
          <cell r="F811" t="str">
            <v>AC</v>
          </cell>
        </row>
        <row r="812">
          <cell r="B812" t="str">
            <v>SNRH</v>
          </cell>
          <cell r="C812" t="str">
            <v>JOÃO FONSECA</v>
          </cell>
          <cell r="D812" t="str">
            <v>AM0039_1301506</v>
          </cell>
          <cell r="E812" t="str">
            <v>ENVIRA</v>
          </cell>
          <cell r="F812" t="str">
            <v>AM</v>
          </cell>
        </row>
        <row r="813">
          <cell r="B813" t="str">
            <v>SD8C</v>
          </cell>
          <cell r="C813" t="str">
            <v>GOVERNADOR JOSÉ B. LINDOSO</v>
          </cell>
          <cell r="D813" t="str">
            <v>AM0098_1301803</v>
          </cell>
          <cell r="E813" t="str">
            <v>IPIXUNA</v>
          </cell>
          <cell r="F813" t="str">
            <v>AM</v>
          </cell>
        </row>
        <row r="814">
          <cell r="B814" t="str">
            <v>SSSM</v>
          </cell>
          <cell r="C814" t="str">
            <v>MATHEUS LOPES MAIA DA SILVA</v>
          </cell>
          <cell r="D814" t="str">
            <v>AM0091_1301951</v>
          </cell>
          <cell r="E814" t="str">
            <v>ITAMARATI</v>
          </cell>
          <cell r="F814" t="str">
            <v>AM</v>
          </cell>
        </row>
        <row r="815">
          <cell r="B815" t="str">
            <v>SDC8</v>
          </cell>
          <cell r="C815" t="str">
            <v>JAPURÁ</v>
          </cell>
          <cell r="D815" t="str">
            <v>AM0102_1302108</v>
          </cell>
          <cell r="E815" t="str">
            <v>JAPURÁ</v>
          </cell>
          <cell r="F815" t="str">
            <v>AM</v>
          </cell>
        </row>
        <row r="816">
          <cell r="B816" t="str">
            <v>SDLR</v>
          </cell>
          <cell r="C816" t="str">
            <v>LUIZ RIBEIRO MAIA</v>
          </cell>
          <cell r="D816" t="str">
            <v>AM0030_1304104</v>
          </cell>
          <cell r="E816" t="str">
            <v>TAPAUÁ</v>
          </cell>
          <cell r="F816" t="str">
            <v>AM</v>
          </cell>
        </row>
        <row r="817">
          <cell r="B817" t="str">
            <v>SSRA</v>
          </cell>
          <cell r="C817" t="str">
            <v>SANTA ROSA DO PURUS</v>
          </cell>
          <cell r="D817" t="str">
            <v>AC0011_1200435</v>
          </cell>
          <cell r="E817" t="str">
            <v>SANTA ROSA DO PURUS</v>
          </cell>
          <cell r="F817" t="str">
            <v>AC</v>
          </cell>
        </row>
        <row r="818">
          <cell r="B818" t="str">
            <v>SSGY</v>
          </cell>
          <cell r="C818" t="str">
            <v>GUAÍRA</v>
          </cell>
          <cell r="D818" t="str">
            <v>PR0023_4108809</v>
          </cell>
          <cell r="E818" t="str">
            <v>GUAÍRA</v>
          </cell>
          <cell r="F818" t="str">
            <v>PR</v>
          </cell>
        </row>
        <row r="819">
          <cell r="B819" t="str">
            <v>SSUM</v>
          </cell>
          <cell r="C819" t="str">
            <v>ORLANDO DE CARVALHO</v>
          </cell>
          <cell r="D819" t="str">
            <v>PR0019_4128104</v>
          </cell>
          <cell r="E819" t="str">
            <v>UMUARAMA</v>
          </cell>
          <cell r="F819" t="str">
            <v>PR</v>
          </cell>
        </row>
        <row r="820">
          <cell r="B820" t="str">
            <v>SJNP</v>
          </cell>
          <cell r="C820" t="str">
            <v>NOVO PROGRESSO</v>
          </cell>
          <cell r="D820" t="str">
            <v>PA0026_1505031</v>
          </cell>
          <cell r="E820" t="str">
            <v>NOVO PROGRESSO</v>
          </cell>
          <cell r="F820" t="str">
            <v>PA</v>
          </cell>
        </row>
        <row r="821">
          <cell r="B821" t="str">
            <v>SWOB</v>
          </cell>
          <cell r="C821" t="str">
            <v>FONTE BOA</v>
          </cell>
          <cell r="D821" t="str">
            <v>AM0014_1301605</v>
          </cell>
          <cell r="E821" t="str">
            <v>FONTE BOA</v>
          </cell>
          <cell r="F821" t="str">
            <v>AM</v>
          </cell>
        </row>
        <row r="822">
          <cell r="B822" t="str">
            <v>SNPD</v>
          </cell>
          <cell r="C822" t="str">
            <v>PATOS DE MINAS</v>
          </cell>
          <cell r="D822" t="str">
            <v>MG0010_3148004</v>
          </cell>
          <cell r="E822" t="str">
            <v>PATOS DE MINAS</v>
          </cell>
          <cell r="F822" t="str">
            <v>MG</v>
          </cell>
        </row>
        <row r="823">
          <cell r="B823" t="str">
            <v>SWPY</v>
          </cell>
          <cell r="C823" t="str">
            <v>PRIMAVERA DO LESTE</v>
          </cell>
          <cell r="D823" t="str">
            <v>MT0023_5107040</v>
          </cell>
          <cell r="E823" t="str">
            <v>PRIMAVERA DO LESTE</v>
          </cell>
          <cell r="F823" t="str">
            <v>MT</v>
          </cell>
        </row>
        <row r="824">
          <cell r="B824" t="str">
            <v>SDCG</v>
          </cell>
          <cell r="C824" t="str">
            <v>SENADORA EUNICE MICHILES</v>
          </cell>
          <cell r="D824" t="str">
            <v>AM0016_1303908</v>
          </cell>
          <cell r="E824" t="str">
            <v>SÃO PAULO DE OLIVENÇA</v>
          </cell>
          <cell r="F824" t="str">
            <v>AM</v>
          </cell>
        </row>
        <row r="825">
          <cell r="B825" t="str">
            <v>SWTP</v>
          </cell>
          <cell r="C825" t="str">
            <v>SANTA ISABEL DO RIO NEGRO</v>
          </cell>
          <cell r="D825" t="str">
            <v>AM0022_1303601</v>
          </cell>
          <cell r="E825" t="str">
            <v>SANTA ISABEL DO RIO NEGRO</v>
          </cell>
          <cell r="F825" t="str">
            <v>AM</v>
          </cell>
        </row>
        <row r="826">
          <cell r="B826" t="str">
            <v>SWII</v>
          </cell>
          <cell r="C826" t="str">
            <v>IPIRANGA</v>
          </cell>
          <cell r="D826" t="str">
            <v>AM0013_1303700</v>
          </cell>
          <cell r="E826" t="str">
            <v>SANTO ANTÔNIO DO IÇÁ</v>
          </cell>
          <cell r="F826" t="str">
            <v>AM</v>
          </cell>
        </row>
        <row r="827">
          <cell r="B827" t="str">
            <v>SDP8</v>
          </cell>
          <cell r="C827" t="str">
            <v>MARECHAL THAUMATURGO</v>
          </cell>
          <cell r="D827" t="str">
            <v>AC0010_1200351</v>
          </cell>
          <cell r="E827" t="str">
            <v>MARECHAL THAUMATURGO</v>
          </cell>
          <cell r="F827" t="str">
            <v>AC</v>
          </cell>
        </row>
        <row r="828">
          <cell r="B828" t="str">
            <v>SNGG</v>
          </cell>
          <cell r="C828" t="str">
            <v>BOM JESUS DO GURGUÉIA</v>
          </cell>
          <cell r="D828" t="str">
            <v>PI0007_2201903</v>
          </cell>
          <cell r="E828" t="str">
            <v>BOM JESUS</v>
          </cell>
          <cell r="F828" t="str">
            <v>PI</v>
          </cell>
        </row>
        <row r="829">
          <cell r="B829" t="str">
            <v>SDH2</v>
          </cell>
          <cell r="C829" t="str">
            <v>PORTO ALEGRE DO NORTE</v>
          </cell>
          <cell r="D829" t="str">
            <v>MT0662_5106778</v>
          </cell>
          <cell r="E829" t="str">
            <v>Porto Alegre do Norte</v>
          </cell>
          <cell r="F829" t="str">
            <v>MT</v>
          </cell>
        </row>
        <row r="830">
          <cell r="B830" t="str">
            <v>SSUV</v>
          </cell>
          <cell r="C830" t="str">
            <v>JOSÉ CLETO</v>
          </cell>
          <cell r="D830" t="str">
            <v>PR0034_4128203</v>
          </cell>
          <cell r="E830" t="str">
            <v>UNIÃO DA VITÓRIA</v>
          </cell>
          <cell r="F830" t="str">
            <v>PR</v>
          </cell>
        </row>
        <row r="831">
          <cell r="B831" t="str">
            <v>SWIA</v>
          </cell>
          <cell r="C831" t="str">
            <v>ANTÔNIO COSTA DA SILVA</v>
          </cell>
          <cell r="D831" t="str">
            <v>AM0088_1302207</v>
          </cell>
          <cell r="E831" t="str">
            <v>JURUÁ</v>
          </cell>
          <cell r="F831" t="str">
            <v>AM</v>
          </cell>
        </row>
        <row r="832">
          <cell r="B832" t="str">
            <v>SBEK</v>
          </cell>
          <cell r="C832" t="str">
            <v>JACAREACANGA</v>
          </cell>
          <cell r="D832" t="str">
            <v>PA0011_1503754</v>
          </cell>
          <cell r="E832" t="str">
            <v>JACAREACANGA</v>
          </cell>
          <cell r="F832" t="str">
            <v>PA</v>
          </cell>
        </row>
        <row r="833">
          <cell r="B833" t="str">
            <v>SNGN</v>
          </cell>
          <cell r="C833" t="str">
            <v>GARANHUNS</v>
          </cell>
          <cell r="D833" t="str">
            <v>PE0006_2606002</v>
          </cell>
          <cell r="E833" t="str">
            <v>GARANHUNS</v>
          </cell>
          <cell r="F833" t="str">
            <v>PE</v>
          </cell>
        </row>
        <row r="834">
          <cell r="B834" t="str">
            <v>SWYN</v>
          </cell>
          <cell r="C834" t="str">
            <v>APUÍ</v>
          </cell>
          <cell r="D834" t="str">
            <v>AM0023_1300144</v>
          </cell>
          <cell r="E834" t="str">
            <v>APUÍ</v>
          </cell>
          <cell r="F834" t="str">
            <v>AM</v>
          </cell>
        </row>
        <row r="835">
          <cell r="B835" t="str">
            <v>SNBC</v>
          </cell>
          <cell r="C835" t="str">
            <v>BARRA DO CORDA</v>
          </cell>
          <cell r="D835" t="str">
            <v>MA0006_2101608</v>
          </cell>
          <cell r="E835" t="str">
            <v>BARRA DO CORDA</v>
          </cell>
          <cell r="F835" t="str">
            <v>MA</v>
          </cell>
        </row>
        <row r="836">
          <cell r="B836" t="str">
            <v>SWUZ</v>
          </cell>
          <cell r="C836" t="str">
            <v>BRIGADEIRO ARARIPE MACEDO</v>
          </cell>
          <cell r="D836" t="str">
            <v>GO0025_5212501</v>
          </cell>
          <cell r="E836" t="str">
            <v>LUZIÂNIA</v>
          </cell>
          <cell r="F836" t="str">
            <v>GO</v>
          </cell>
        </row>
        <row r="837">
          <cell r="B837" t="str">
            <v>SWWA</v>
          </cell>
          <cell r="C837" t="str">
            <v>PORANGATU</v>
          </cell>
          <cell r="D837" t="str">
            <v>GO0012_5218003</v>
          </cell>
          <cell r="E837" t="str">
            <v>PORANGATU</v>
          </cell>
          <cell r="F837" t="str">
            <v>GO</v>
          </cell>
        </row>
        <row r="838">
          <cell r="B838" t="str">
            <v>SNYA</v>
          </cell>
          <cell r="C838" t="str">
            <v>AERÓDROMO PÚBLICO DE ALMEIRIM</v>
          </cell>
          <cell r="D838" t="str">
            <v>PA0024_1500503</v>
          </cell>
          <cell r="E838" t="str">
            <v>ALMEIRIM</v>
          </cell>
          <cell r="F838" t="str">
            <v>PA</v>
          </cell>
        </row>
        <row r="839">
          <cell r="B839" t="str">
            <v>SNBS</v>
          </cell>
          <cell r="C839" t="str">
            <v>BALSAS</v>
          </cell>
          <cell r="D839" t="str">
            <v>MA0010_2101400</v>
          </cell>
          <cell r="E839" t="str">
            <v>BALSAS</v>
          </cell>
          <cell r="F839" t="str">
            <v>MA</v>
          </cell>
        </row>
        <row r="840">
          <cell r="B840" t="str">
            <v>SNAG</v>
          </cell>
          <cell r="C840" t="str">
            <v>ARAGUARI</v>
          </cell>
          <cell r="D840" t="str">
            <v>MG0020_3103504</v>
          </cell>
          <cell r="E840" t="str">
            <v>ARAGUARI</v>
          </cell>
          <cell r="F840" t="str">
            <v>MG</v>
          </cell>
        </row>
        <row r="841">
          <cell r="B841" t="str">
            <v>SSVL</v>
          </cell>
          <cell r="C841" t="str">
            <v>TELÊMACO BORBA</v>
          </cell>
          <cell r="D841" t="str">
            <v>PR0007_4127106</v>
          </cell>
          <cell r="E841" t="str">
            <v>TELÊMACO BORBA</v>
          </cell>
          <cell r="F841" t="str">
            <v>PR</v>
          </cell>
        </row>
        <row r="842">
          <cell r="B842" t="str">
            <v>SWGN</v>
          </cell>
          <cell r="C842" t="str">
            <v>ARAGUAÍNA</v>
          </cell>
          <cell r="D842" t="str">
            <v>TO0002_1702109</v>
          </cell>
          <cell r="E842" t="str">
            <v>ARAGUAÍNA</v>
          </cell>
          <cell r="F842" t="str">
            <v>TO</v>
          </cell>
        </row>
        <row r="843">
          <cell r="B843" t="str">
            <v>SSLT</v>
          </cell>
          <cell r="C843" t="str">
            <v>GAUDÊNCIO MACHADO RAMOS</v>
          </cell>
          <cell r="D843" t="str">
            <v>RS0022_4300406</v>
          </cell>
          <cell r="E843" t="str">
            <v>ALEGRETE</v>
          </cell>
          <cell r="F843" t="str">
            <v>RS</v>
          </cell>
        </row>
        <row r="844">
          <cell r="B844" t="str">
            <v>SNTO</v>
          </cell>
          <cell r="C844" t="str">
            <v>JUSCELINO KUBITSCHECK</v>
          </cell>
          <cell r="D844" t="str">
            <v>MG0048_3168606</v>
          </cell>
          <cell r="E844" t="str">
            <v>TEÓFILO OTONI</v>
          </cell>
          <cell r="F844" t="str">
            <v>MG</v>
          </cell>
        </row>
        <row r="845">
          <cell r="B845" t="str">
            <v>SSZR</v>
          </cell>
          <cell r="C845" t="str">
            <v>LUIS ALBERTO LEHR</v>
          </cell>
          <cell r="D845" t="str">
            <v>RS0027_4317202</v>
          </cell>
          <cell r="E845" t="str">
            <v>SANTA ROSA</v>
          </cell>
          <cell r="F845" t="str">
            <v>RS</v>
          </cell>
        </row>
        <row r="846">
          <cell r="B846" t="str">
            <v>SNMZ</v>
          </cell>
          <cell r="C846" t="str">
            <v>PORTO DE MOZ</v>
          </cell>
          <cell r="D846" t="str">
            <v>PA0020_1505908</v>
          </cell>
          <cell r="E846" t="str">
            <v>PORTO DE MOZ</v>
          </cell>
          <cell r="F846" t="str">
            <v>PA</v>
          </cell>
        </row>
        <row r="847">
          <cell r="B847" t="str">
            <v>SNBI</v>
          </cell>
          <cell r="C847" t="str">
            <v>BACABAL</v>
          </cell>
          <cell r="D847" t="str">
            <v>MA0005_2101202</v>
          </cell>
          <cell r="E847" t="str">
            <v>BACABAL</v>
          </cell>
          <cell r="F847" t="str">
            <v>MA</v>
          </cell>
        </row>
        <row r="848">
          <cell r="B848" t="str">
            <v>SWCQ</v>
          </cell>
          <cell r="C848" t="str">
            <v>COSTA MARQUES</v>
          </cell>
          <cell r="D848" t="str">
            <v>RO0007_1100080</v>
          </cell>
          <cell r="E848" t="str">
            <v>COSTA MARQUES</v>
          </cell>
          <cell r="F848" t="str">
            <v>RO</v>
          </cell>
        </row>
        <row r="849">
          <cell r="B849" t="str">
            <v>SNXQ</v>
          </cell>
          <cell r="C849" t="str">
            <v>XIQUE-XIQUE</v>
          </cell>
          <cell r="D849" t="str">
            <v>BA0018_2933604</v>
          </cell>
          <cell r="E849" t="str">
            <v>XIQUE-XIQUE</v>
          </cell>
          <cell r="F849" t="str">
            <v>BA</v>
          </cell>
        </row>
        <row r="850">
          <cell r="B850" t="str">
            <v>SDVG</v>
          </cell>
          <cell r="C850" t="str">
            <v>DOMINGOS PIGNATARI</v>
          </cell>
          <cell r="D850" t="str">
            <v>SP0026_3557105</v>
          </cell>
          <cell r="E850" t="str">
            <v>VOTUPORANGA</v>
          </cell>
          <cell r="F850" t="str">
            <v>SP</v>
          </cell>
        </row>
        <row r="851">
          <cell r="B851" t="str">
            <v>SDFD</v>
          </cell>
          <cell r="C851" t="str">
            <v>CORONEL AVIADOR CARLOS ORLEANS GUIMARÃES</v>
          </cell>
          <cell r="D851" t="str">
            <v>SP0054_3515509</v>
          </cell>
          <cell r="E851" t="str">
            <v>FERNANDÓPOLIS</v>
          </cell>
          <cell r="F851" t="str">
            <v>SP</v>
          </cell>
        </row>
        <row r="852">
          <cell r="B852" t="str">
            <v>SDJO</v>
          </cell>
          <cell r="C852" t="str">
            <v>SÃO JOAQUIM DA BARRA</v>
          </cell>
          <cell r="D852" t="str">
            <v>SP0057_3549409</v>
          </cell>
          <cell r="E852" t="str">
            <v>SÃO JOAQUIM DA BARRA</v>
          </cell>
          <cell r="F852" t="str">
            <v>SP</v>
          </cell>
        </row>
        <row r="853">
          <cell r="B853" t="str">
            <v>SNOX</v>
          </cell>
          <cell r="C853" t="str">
            <v>ORIXIMINÁ</v>
          </cell>
          <cell r="D853" t="str">
            <v>PA0014_1505304</v>
          </cell>
          <cell r="E853" t="str">
            <v>ORIXIMINÁ</v>
          </cell>
          <cell r="F853" t="str">
            <v>PA</v>
          </cell>
        </row>
        <row r="854">
          <cell r="B854" t="str">
            <v>SNPA</v>
          </cell>
          <cell r="C854" t="str">
            <v>PARÁ DE MINAS</v>
          </cell>
          <cell r="D854" t="str">
            <v>MG0052_3147105</v>
          </cell>
          <cell r="E854" t="str">
            <v>PARÁ DE MINAS</v>
          </cell>
          <cell r="F854" t="str">
            <v>MG</v>
          </cell>
        </row>
        <row r="855">
          <cell r="B855" t="str">
            <v>SWFR</v>
          </cell>
          <cell r="C855" t="str">
            <v>FORMOSA</v>
          </cell>
          <cell r="D855" t="str">
            <v>GO0014_5208004</v>
          </cell>
          <cell r="E855" t="str">
            <v>FORMOSA</v>
          </cell>
          <cell r="F855" t="str">
            <v>GO</v>
          </cell>
        </row>
        <row r="856">
          <cell r="B856" t="str">
            <v>SBMI</v>
          </cell>
          <cell r="C856" t="str">
            <v>MARICÁ</v>
          </cell>
          <cell r="D856" t="str">
            <v>RJ0009_3302700</v>
          </cell>
          <cell r="E856" t="str">
            <v>MARICÁ</v>
          </cell>
          <cell r="F856" t="str">
            <v>RJ</v>
          </cell>
        </row>
        <row r="857">
          <cell r="B857" t="str">
            <v>SSSC</v>
          </cell>
          <cell r="C857" t="str">
            <v>SANTA CRUZ DO SUL</v>
          </cell>
          <cell r="D857" t="str">
            <v>RS0029_4316808</v>
          </cell>
          <cell r="E857" t="str">
            <v>SANTA CRUZ DO SUL</v>
          </cell>
          <cell r="F857" t="str">
            <v>RS</v>
          </cell>
        </row>
        <row r="858">
          <cell r="B858" t="str">
            <v>SSCN</v>
          </cell>
          <cell r="C858" t="str">
            <v>CANELA</v>
          </cell>
          <cell r="D858" t="str">
            <v>RS0019_4304408</v>
          </cell>
          <cell r="E858" t="str">
            <v>CANELA</v>
          </cell>
          <cell r="F858" t="str">
            <v>RS</v>
          </cell>
        </row>
        <row r="859">
          <cell r="B859" t="str">
            <v>SWNS</v>
          </cell>
          <cell r="C859" t="str">
            <v>ANÁPOLIS</v>
          </cell>
          <cell r="D859" t="str">
            <v>GO0004_5201108</v>
          </cell>
          <cell r="E859" t="str">
            <v>ANÁPOLIS</v>
          </cell>
          <cell r="F859" t="str">
            <v>GO</v>
          </cell>
        </row>
        <row r="860">
          <cell r="B860" t="str">
            <v>SNGA</v>
          </cell>
          <cell r="C860" t="str">
            <v>GUARAPARI</v>
          </cell>
          <cell r="D860" t="str">
            <v>ES0007_3202405</v>
          </cell>
          <cell r="E860" t="str">
            <v>GUARAPARI</v>
          </cell>
          <cell r="F860" t="str">
            <v>ES</v>
          </cell>
        </row>
        <row r="861">
          <cell r="B861" t="str">
            <v>SDIG</v>
          </cell>
          <cell r="C861" t="str">
            <v>IBITINGA</v>
          </cell>
          <cell r="D861" t="str">
            <v>SP0038_3519600</v>
          </cell>
          <cell r="E861" t="str">
            <v>IBITINGA</v>
          </cell>
          <cell r="F861" t="str">
            <v>SP</v>
          </cell>
        </row>
        <row r="862">
          <cell r="B862" t="str">
            <v>SSNG</v>
          </cell>
          <cell r="C862" t="str">
            <v>HELIO ALVES DE OLIVEIRA</v>
          </cell>
          <cell r="D862" t="str">
            <v>RS0046_4312401</v>
          </cell>
          <cell r="E862" t="str">
            <v>MONTENEGRO</v>
          </cell>
          <cell r="F862" t="str">
            <v>RS</v>
          </cell>
        </row>
        <row r="863">
          <cell r="B863" t="str">
            <v>SSTE</v>
          </cell>
          <cell r="C863" t="str">
            <v>TORRES</v>
          </cell>
          <cell r="D863" t="str">
            <v>RS0011_4321501</v>
          </cell>
          <cell r="E863" t="str">
            <v>TORRES</v>
          </cell>
          <cell r="F863" t="str">
            <v>RS</v>
          </cell>
        </row>
        <row r="864">
          <cell r="B864" t="str">
            <v>SSGB</v>
          </cell>
          <cell r="C864" t="str">
            <v>MUNICIPAL DE GUARATUBA</v>
          </cell>
          <cell r="D864" t="str">
            <v>PR0035_4109609</v>
          </cell>
          <cell r="E864" t="str">
            <v>GUARATUBA</v>
          </cell>
          <cell r="F864" t="str">
            <v>PR</v>
          </cell>
        </row>
        <row r="865">
          <cell r="B865" t="str">
            <v>SDTB</v>
          </cell>
          <cell r="C865" t="str">
            <v>ATIBAIA</v>
          </cell>
          <cell r="D865" t="str">
            <v>SP0069_3504107</v>
          </cell>
          <cell r="E865" t="str">
            <v>ATIBAIA</v>
          </cell>
          <cell r="F865" t="str">
            <v>SP</v>
          </cell>
        </row>
        <row r="866">
          <cell r="B866" t="str">
            <v>SBJD</v>
          </cell>
          <cell r="C866" t="str">
            <v>COMANDANTE ROLIM ADOLFO AMARO</v>
          </cell>
          <cell r="D866" t="str">
            <v>SP0031_3525904</v>
          </cell>
          <cell r="E866" t="str">
            <v>JUNDIAÍ</v>
          </cell>
          <cell r="F866" t="str">
            <v>SP</v>
          </cell>
        </row>
        <row r="867">
          <cell r="B867" t="str">
            <v>SBJH</v>
          </cell>
          <cell r="C867" t="str">
            <v>SÃO PAULO CATARINA AEROPORTO EXECUTIVO</v>
          </cell>
          <cell r="D867" t="str">
            <v>SP1176_3550605</v>
          </cell>
          <cell r="E867" t="str">
            <v>SÃO ROQUE</v>
          </cell>
          <cell r="F867" t="str">
            <v>SP</v>
          </cell>
        </row>
        <row r="868">
          <cell r="B868" t="str">
            <v>SSNH</v>
          </cell>
          <cell r="C868" t="str">
            <v>NOVO HAMBURGO</v>
          </cell>
          <cell r="D868" t="str">
            <v>RS0023_4313409</v>
          </cell>
          <cell r="E868" t="str">
            <v>NOVO HAMBURGO</v>
          </cell>
          <cell r="F868" t="str">
            <v>RS</v>
          </cell>
        </row>
        <row r="869">
          <cell r="B869" t="str">
            <v>SDPW</v>
          </cell>
          <cell r="C869" t="str">
            <v>PEDRO MORGANTI</v>
          </cell>
          <cell r="D869" t="str">
            <v>SP0041_3538709</v>
          </cell>
          <cell r="E869" t="str">
            <v>PIRACICABA</v>
          </cell>
          <cell r="F869" t="str">
            <v>SP</v>
          </cell>
        </row>
        <row r="870">
          <cell r="B870" t="str">
            <v>SDMJ</v>
          </cell>
          <cell r="C870" t="str">
            <v>MOGI MIRIM</v>
          </cell>
          <cell r="D870" t="str">
            <v>SP0022_3530805</v>
          </cell>
          <cell r="E870" t="str">
            <v>MOGI MIRIM</v>
          </cell>
          <cell r="F870" t="str">
            <v>SP</v>
          </cell>
        </row>
        <row r="871">
          <cell r="B871" t="str">
            <v>SSKG</v>
          </cell>
          <cell r="C871" t="str">
            <v>ESTÂNCIA SANTA MARIA</v>
          </cell>
          <cell r="D871" t="str">
            <v>MS0003_5002704</v>
          </cell>
          <cell r="E871" t="str">
            <v>CAMPO GRANDE</v>
          </cell>
          <cell r="F871" t="str">
            <v>MS</v>
          </cell>
        </row>
        <row r="872">
          <cell r="B872" t="str">
            <v>SSIE</v>
          </cell>
          <cell r="C872" t="str">
            <v>TERUEL IPANEMA ESTÂNCIA</v>
          </cell>
          <cell r="D872" t="str">
            <v>MS0002_5002704</v>
          </cell>
          <cell r="E872" t="str">
            <v>CAMPO GRANDE</v>
          </cell>
          <cell r="F872" t="str">
            <v>MS</v>
          </cell>
        </row>
        <row r="873">
          <cell r="B873" t="str">
            <v>SDCO</v>
          </cell>
          <cell r="C873" t="str">
            <v>SOROCABA</v>
          </cell>
          <cell r="D873" t="str">
            <v>SP0027_3552205</v>
          </cell>
          <cell r="E873" t="str">
            <v>SOROCABA</v>
          </cell>
          <cell r="F873" t="str">
            <v>SP</v>
          </cell>
        </row>
        <row r="874">
          <cell r="B874" t="str">
            <v>SBBP</v>
          </cell>
          <cell r="C874" t="str">
            <v>ESTADUAL ARTHUR SIQUEIRA</v>
          </cell>
          <cell r="D874" t="str">
            <v>SP0036_3507605</v>
          </cell>
          <cell r="E874" t="str">
            <v>BRAGANÇA PAULISTA</v>
          </cell>
          <cell r="F874" t="str">
            <v>SP</v>
          </cell>
        </row>
        <row r="875">
          <cell r="B875" t="str">
            <v>SSBL</v>
          </cell>
          <cell r="C875" t="str">
            <v>BLUMENAU</v>
          </cell>
          <cell r="D875" t="str">
            <v>SC0019_4202404</v>
          </cell>
          <cell r="E875" t="str">
            <v>BLUMENAU</v>
          </cell>
          <cell r="F875" t="str">
            <v>SC</v>
          </cell>
        </row>
        <row r="876">
          <cell r="B876" t="str">
            <v>SDAI</v>
          </cell>
          <cell r="C876" t="str">
            <v>AMERICANA</v>
          </cell>
          <cell r="D876" t="str">
            <v>SP0047_3501608</v>
          </cell>
          <cell r="E876" t="str">
            <v>AMERICANA</v>
          </cell>
          <cell r="F876" t="str">
            <v>SP</v>
          </cell>
        </row>
        <row r="877">
          <cell r="B877" t="str">
            <v>SBBH</v>
          </cell>
          <cell r="C877" t="str">
            <v>PAMPULHA - CARLOS DRUMMOND DE ANDRADE</v>
          </cell>
          <cell r="D877" t="str">
            <v>MG0003_3106200</v>
          </cell>
          <cell r="E877" t="str">
            <v>BELO HORIZONTE</v>
          </cell>
          <cell r="F877" t="str">
            <v>MG</v>
          </cell>
        </row>
        <row r="878">
          <cell r="B878" t="str">
            <v>SBNV</v>
          </cell>
          <cell r="C878" t="str">
            <v>AERÓDROMO NACIONAL DE AVIAÇÃO</v>
          </cell>
          <cell r="D878" t="str">
            <v>GO0002_5208707</v>
          </cell>
          <cell r="E878" t="str">
            <v>GOIÂNIA</v>
          </cell>
          <cell r="F878" t="str">
            <v>GO</v>
          </cell>
        </row>
        <row r="879">
          <cell r="B879" t="str">
            <v>SBBI</v>
          </cell>
          <cell r="C879" t="str">
            <v>BACACHERI</v>
          </cell>
          <cell r="D879" t="str">
            <v>PR0006_4106902</v>
          </cell>
          <cell r="E879" t="str">
            <v>CURITIBA</v>
          </cell>
          <cell r="F879" t="str">
            <v>PR</v>
          </cell>
        </row>
        <row r="880">
          <cell r="B880" t="str">
            <v>SWFN</v>
          </cell>
          <cell r="C880" t="str">
            <v>FLORES</v>
          </cell>
          <cell r="D880" t="str">
            <v>AM0002_1302603</v>
          </cell>
          <cell r="E880" t="str">
            <v>MANAUS</v>
          </cell>
          <cell r="F880" t="str">
            <v>AM</v>
          </cell>
        </row>
        <row r="881">
          <cell r="B881" t="str">
            <v>SSBN</v>
          </cell>
          <cell r="C881" t="str">
            <v>BELÉM NOVO</v>
          </cell>
          <cell r="D881" t="str">
            <v>RS0002_4314902</v>
          </cell>
          <cell r="E881" t="str">
            <v>PORTO ALEGRE</v>
          </cell>
          <cell r="F881" t="str">
            <v>RS</v>
          </cell>
        </row>
        <row r="882">
          <cell r="B882" t="str">
            <v>SDAM</v>
          </cell>
          <cell r="C882" t="str">
            <v>ESTADUAL DE CAMPOS DOS AMARAIS - PREFEITO FRANCISCO AMARAL</v>
          </cell>
          <cell r="D882" t="str">
            <v>SP0037_3509502</v>
          </cell>
          <cell r="E882" t="str">
            <v>CAMPINAS</v>
          </cell>
          <cell r="F882" t="str">
            <v>SP</v>
          </cell>
        </row>
        <row r="883">
          <cell r="B883" t="str">
            <v>SDUB</v>
          </cell>
          <cell r="C883" t="str">
            <v>ESTADUAL GASTÃO MADEIRA</v>
          </cell>
          <cell r="D883" t="str">
            <v>SP0065_3555406</v>
          </cell>
          <cell r="E883" t="str">
            <v>UBATUBA</v>
          </cell>
          <cell r="F883" t="str">
            <v>SP</v>
          </cell>
        </row>
        <row r="884">
          <cell r="B884" t="str">
            <v>SBJR</v>
          </cell>
          <cell r="C884" t="str">
            <v>JACAREPAGUÁ - ROBERTO MARINHO</v>
          </cell>
          <cell r="D884" t="str">
            <v>RJ0005_3304557</v>
          </cell>
          <cell r="E884" t="str">
            <v>RIO DE JANEIRO</v>
          </cell>
          <cell r="F884" t="str">
            <v>RJ</v>
          </cell>
        </row>
        <row r="885">
          <cell r="B885" t="str">
            <v>SBMT</v>
          </cell>
          <cell r="C885" t="str">
            <v>CAMPO DE MARTE</v>
          </cell>
          <cell r="D885" t="str">
            <v>SP0007_3550308</v>
          </cell>
          <cell r="E885" t="str">
            <v>SÃO PAULO</v>
          </cell>
          <cell r="F885" t="str">
            <v>SP</v>
          </cell>
        </row>
        <row r="886">
          <cell r="B886" t="str">
            <v>SBAE</v>
          </cell>
          <cell r="C886" t="str">
            <v>BAURU/AREALVA</v>
          </cell>
          <cell r="D886" t="str">
            <v>SP0010_3503406</v>
          </cell>
          <cell r="E886" t="str">
            <v>AREALVA</v>
          </cell>
          <cell r="F886" t="str">
            <v>SP</v>
          </cell>
        </row>
        <row r="887">
          <cell r="B887" t="str">
            <v>SBAR</v>
          </cell>
          <cell r="C887" t="str">
            <v>SANTA MARIA</v>
          </cell>
          <cell r="D887" t="str">
            <v>SE0001_2800308</v>
          </cell>
          <cell r="E887" t="str">
            <v>ARACAJU</v>
          </cell>
          <cell r="F887" t="str">
            <v>SE</v>
          </cell>
        </row>
        <row r="888">
          <cell r="B888" t="str">
            <v>SBFL</v>
          </cell>
          <cell r="C888" t="str">
            <v>HERCÍLIO LUZ</v>
          </cell>
          <cell r="D888" t="str">
            <v>SC0001_4205407</v>
          </cell>
          <cell r="E888" t="str">
            <v>FLORIANÓPOLIS</v>
          </cell>
          <cell r="F888" t="str">
            <v>SC</v>
          </cell>
        </row>
        <row r="889">
          <cell r="B889" t="str">
            <v>SBGR</v>
          </cell>
          <cell r="C889" t="str">
            <v>GUARULHOS - GOVERNADOR ANDRÉ FRANCO MONTORO</v>
          </cell>
          <cell r="D889" t="str">
            <v>SP0002_3518800</v>
          </cell>
          <cell r="E889" t="str">
            <v>GUARULHOS</v>
          </cell>
          <cell r="F889" t="str">
            <v>SP</v>
          </cell>
        </row>
        <row r="890">
          <cell r="B890" t="str">
            <v>SBIZ</v>
          </cell>
          <cell r="C890" t="str">
            <v>PREFEITO RENATO MOREIRA</v>
          </cell>
          <cell r="D890" t="str">
            <v>MA0002_2105302</v>
          </cell>
          <cell r="E890" t="str">
            <v>IMPERATRIZ</v>
          </cell>
          <cell r="F890" t="str">
            <v>MA</v>
          </cell>
        </row>
        <row r="891">
          <cell r="B891" t="str">
            <v>SBJU</v>
          </cell>
          <cell r="C891" t="str">
            <v>ORLANDO BEZERRA DE MENEZES</v>
          </cell>
          <cell r="D891" t="str">
            <v>CE0002_2307304</v>
          </cell>
          <cell r="E891" t="str">
            <v>JUAZEIRO DO NORTE</v>
          </cell>
          <cell r="F891" t="str">
            <v>CE</v>
          </cell>
        </row>
        <row r="892">
          <cell r="B892" t="str">
            <v>SBMO</v>
          </cell>
          <cell r="C892" t="str">
            <v>ZUMBI DOS PALMARES</v>
          </cell>
          <cell r="D892" t="str">
            <v>AL0001_2707701</v>
          </cell>
          <cell r="E892" t="str">
            <v>RIO LARGO</v>
          </cell>
          <cell r="F892" t="str">
            <v>AL</v>
          </cell>
        </row>
        <row r="893">
          <cell r="B893" t="str">
            <v>SBMQ</v>
          </cell>
          <cell r="C893" t="str">
            <v>ALBERTO ALCOLUMBRE</v>
          </cell>
          <cell r="D893" t="str">
            <v>AP0001_1600303</v>
          </cell>
          <cell r="E893" t="str">
            <v>MACAPÁ</v>
          </cell>
          <cell r="F893" t="str">
            <v>AP</v>
          </cell>
        </row>
        <row r="894">
          <cell r="B894" t="str">
            <v>SBSV</v>
          </cell>
          <cell r="C894" t="str">
            <v>DEPUTADO LUÍS EDUARDO MAGALHÃES</v>
          </cell>
          <cell r="D894" t="str">
            <v>BA0001_2927408</v>
          </cell>
          <cell r="E894" t="str">
            <v>SALVADOR</v>
          </cell>
          <cell r="F894" t="str">
            <v>BA</v>
          </cell>
        </row>
        <row r="895">
          <cell r="B895" t="str">
            <v>SBAT</v>
          </cell>
          <cell r="C895" t="str">
            <v>PILOTO OSVALDO MARQUES DIAS</v>
          </cell>
          <cell r="D895" t="str">
            <v>MT0003_5100250</v>
          </cell>
          <cell r="E895" t="str">
            <v>ALTA FLORESTA</v>
          </cell>
          <cell r="F895" t="str">
            <v>MT</v>
          </cell>
        </row>
        <row r="896">
          <cell r="B896" t="str">
            <v>SBAU</v>
          </cell>
          <cell r="C896" t="str">
            <v>ARAÇATUBA</v>
          </cell>
          <cell r="D896" t="str">
            <v>SP0009_3502804</v>
          </cell>
          <cell r="E896" t="str">
            <v>ARAÇATUBA</v>
          </cell>
          <cell r="F896" t="str">
            <v>SP</v>
          </cell>
        </row>
        <row r="897">
          <cell r="B897" t="str">
            <v>SBBE</v>
          </cell>
          <cell r="C897" t="str">
            <v>INTERNACIONAL DE BELÉM/VAL DE CANS/JÚLIO CEZAR RIBEIRO</v>
          </cell>
          <cell r="D897" t="str">
            <v>PA0001_1501402</v>
          </cell>
          <cell r="E897" t="str">
            <v>BELÉM</v>
          </cell>
          <cell r="F897" t="str">
            <v>PA</v>
          </cell>
        </row>
        <row r="898">
          <cell r="B898" t="str">
            <v>SBBG</v>
          </cell>
          <cell r="C898" t="str">
            <v>COMANDANTE GUSTAVO KRAEMER</v>
          </cell>
          <cell r="D898" t="str">
            <v>RS0010_4301602</v>
          </cell>
          <cell r="E898" t="str">
            <v>BAGÉ</v>
          </cell>
          <cell r="F898" t="str">
            <v>RS</v>
          </cell>
        </row>
        <row r="899">
          <cell r="B899" t="str">
            <v>SBBR</v>
          </cell>
          <cell r="C899" t="str">
            <v>PRESIDENTE JUSCELINO KUBITSCHEK</v>
          </cell>
          <cell r="D899" t="str">
            <v>DF0001_5300108</v>
          </cell>
          <cell r="E899" t="str">
            <v>BRASÍLIA</v>
          </cell>
          <cell r="F899" t="str">
            <v>DF</v>
          </cell>
        </row>
        <row r="900">
          <cell r="B900" t="str">
            <v>SBBV</v>
          </cell>
          <cell r="C900" t="str">
            <v>ATLAS BRASIL CANTANHEDE</v>
          </cell>
          <cell r="D900" t="str">
            <v>RR0001_1400100</v>
          </cell>
          <cell r="E900" t="str">
            <v>BOA VISTA</v>
          </cell>
          <cell r="F900" t="str">
            <v>RR</v>
          </cell>
        </row>
        <row r="901">
          <cell r="B901" t="str">
            <v>SBCF</v>
          </cell>
          <cell r="C901" t="str">
            <v>TANCREDO NEVES</v>
          </cell>
          <cell r="D901" t="str">
            <v>MG0001_3117876</v>
          </cell>
          <cell r="E901" t="str">
            <v>CONFINS</v>
          </cell>
          <cell r="F901" t="str">
            <v>MG</v>
          </cell>
        </row>
        <row r="902">
          <cell r="B902" t="str">
            <v>SBCG</v>
          </cell>
          <cell r="C902" t="str">
            <v>CAMPO GRANDE</v>
          </cell>
          <cell r="D902" t="str">
            <v>MS0001_5002704</v>
          </cell>
          <cell r="E902" t="str">
            <v>CAMPO GRANDE</v>
          </cell>
          <cell r="F902" t="str">
            <v>MS</v>
          </cell>
        </row>
        <row r="903">
          <cell r="B903" t="str">
            <v>SBCJ</v>
          </cell>
          <cell r="C903" t="str">
            <v>CARAJÁS</v>
          </cell>
          <cell r="D903" t="str">
            <v>PA0006_1505536</v>
          </cell>
          <cell r="E903" t="str">
            <v>PARAUAPEBAS</v>
          </cell>
          <cell r="F903" t="str">
            <v>PA</v>
          </cell>
        </row>
        <row r="904">
          <cell r="B904" t="str">
            <v>SBCR</v>
          </cell>
          <cell r="C904" t="str">
            <v>CORUMBÁ</v>
          </cell>
          <cell r="D904" t="str">
            <v>MS0009_5003207</v>
          </cell>
          <cell r="E904" t="str">
            <v>CORUMBÁ</v>
          </cell>
          <cell r="F904" t="str">
            <v>MS</v>
          </cell>
        </row>
        <row r="905">
          <cell r="B905" t="str">
            <v>SBCT</v>
          </cell>
          <cell r="C905" t="str">
            <v>AFONSO PENA</v>
          </cell>
          <cell r="D905" t="str">
            <v>PR0001_4125506</v>
          </cell>
          <cell r="E905" t="str">
            <v>SÃO JOSÉ DOS PINHAIS</v>
          </cell>
          <cell r="F905" t="str">
            <v>PR</v>
          </cell>
        </row>
        <row r="906">
          <cell r="B906" t="str">
            <v>SBCY</v>
          </cell>
          <cell r="C906" t="str">
            <v>MARECHAL RONDON</v>
          </cell>
          <cell r="D906" t="str">
            <v>MT0001_5108402</v>
          </cell>
          <cell r="E906" t="str">
            <v>VÁRZEA GRANDE</v>
          </cell>
          <cell r="F906" t="str">
            <v>MT</v>
          </cell>
        </row>
        <row r="907">
          <cell r="B907" t="str">
            <v>SBCZ</v>
          </cell>
          <cell r="C907" t="str">
            <v>CRUZEIRO DO SUL</v>
          </cell>
          <cell r="D907" t="str">
            <v>AC0002_1200203</v>
          </cell>
          <cell r="E907" t="str">
            <v>CRUZEIRO DO SUL</v>
          </cell>
          <cell r="F907" t="str">
            <v>AC</v>
          </cell>
        </row>
        <row r="908">
          <cell r="B908" t="str">
            <v>SBDN</v>
          </cell>
          <cell r="C908" t="str">
            <v>PRESIDENTE PRUDENTE</v>
          </cell>
          <cell r="D908" t="str">
            <v>SP0005_3541406</v>
          </cell>
          <cell r="E908" t="str">
            <v>PRESIDENTE PRUDENTE</v>
          </cell>
          <cell r="F908" t="str">
            <v>SP</v>
          </cell>
        </row>
        <row r="909">
          <cell r="B909" t="str">
            <v>SBEG</v>
          </cell>
          <cell r="C909" t="str">
            <v>EDUARDO GOMES</v>
          </cell>
          <cell r="D909" t="str">
            <v>AM0001_1302603</v>
          </cell>
          <cell r="E909" t="str">
            <v>MANAUS</v>
          </cell>
          <cell r="F909" t="str">
            <v>AM</v>
          </cell>
        </row>
        <row r="910">
          <cell r="B910" t="str">
            <v>SBFI</v>
          </cell>
          <cell r="C910" t="str">
            <v>CATARATAS</v>
          </cell>
          <cell r="D910" t="str">
            <v>PR0002_4108304</v>
          </cell>
          <cell r="E910" t="str">
            <v>FOZ DO IGUAÇU</v>
          </cell>
          <cell r="F910" t="str">
            <v>PR</v>
          </cell>
        </row>
        <row r="911">
          <cell r="B911" t="str">
            <v>SBFZ</v>
          </cell>
          <cell r="C911" t="str">
            <v>PINTO MARTINS</v>
          </cell>
          <cell r="D911" t="str">
            <v>CE0001_2304400</v>
          </cell>
          <cell r="E911" t="str">
            <v>FORTALEZA</v>
          </cell>
          <cell r="F911" t="str">
            <v>CE</v>
          </cell>
        </row>
        <row r="912">
          <cell r="B912" t="str">
            <v>SBGL</v>
          </cell>
          <cell r="C912" t="str">
            <v>RIO DE JANEIRO/GALEÃO – ANTÔNIO CARLOS JOBIM</v>
          </cell>
          <cell r="D912" t="str">
            <v>RJ0001_3304557</v>
          </cell>
          <cell r="E912" t="str">
            <v>RIO DE JANEIRO</v>
          </cell>
          <cell r="F912" t="str">
            <v>RJ</v>
          </cell>
        </row>
        <row r="913">
          <cell r="B913" t="str">
            <v>SBGO</v>
          </cell>
          <cell r="C913" t="str">
            <v>SANTA GENOVEVA/GOIÂNIA</v>
          </cell>
          <cell r="D913" t="str">
            <v>GO0001_5208707</v>
          </cell>
          <cell r="E913" t="str">
            <v>GOIÂNIA</v>
          </cell>
          <cell r="F913" t="str">
            <v>GO</v>
          </cell>
        </row>
        <row r="914">
          <cell r="B914" t="str">
            <v>SBHT</v>
          </cell>
          <cell r="C914" t="str">
            <v>ALTAMIRA</v>
          </cell>
          <cell r="D914" t="str">
            <v>PA0003_1500602</v>
          </cell>
          <cell r="E914" t="str">
            <v>ALTAMIRA</v>
          </cell>
          <cell r="F914" t="str">
            <v>PA</v>
          </cell>
        </row>
        <row r="915">
          <cell r="B915" t="str">
            <v>SBJP</v>
          </cell>
          <cell r="C915" t="str">
            <v>PRESIDENTE CASTRO PINTO</v>
          </cell>
          <cell r="D915" t="str">
            <v>PB0001_2501807</v>
          </cell>
          <cell r="E915" t="str">
            <v>BAYEUX</v>
          </cell>
          <cell r="F915" t="str">
            <v>PB</v>
          </cell>
        </row>
        <row r="916">
          <cell r="B916" t="str">
            <v>SBJV</v>
          </cell>
          <cell r="C916" t="str">
            <v>LAURO CARNEIRO DE LOYOLA</v>
          </cell>
          <cell r="D916" t="str">
            <v>SC0004_4209102</v>
          </cell>
          <cell r="E916" t="str">
            <v>JOINVILLE</v>
          </cell>
          <cell r="F916" t="str">
            <v>SC</v>
          </cell>
        </row>
        <row r="917">
          <cell r="B917" t="str">
            <v>SBKG</v>
          </cell>
          <cell r="C917" t="str">
            <v>PRESIDENTE JOÃO SUASSUNA</v>
          </cell>
          <cell r="D917" t="str">
            <v>PB0003_2504009</v>
          </cell>
          <cell r="E917" t="str">
            <v>CAMPINA GRANDE</v>
          </cell>
          <cell r="F917" t="str">
            <v>PB</v>
          </cell>
        </row>
        <row r="918">
          <cell r="B918" t="str">
            <v>SBKP</v>
          </cell>
          <cell r="C918" t="str">
            <v>VIRACOPOS</v>
          </cell>
          <cell r="D918" t="str">
            <v>SP0003_3509502</v>
          </cell>
          <cell r="E918" t="str">
            <v>CAMPINAS</v>
          </cell>
          <cell r="F918" t="str">
            <v>SP</v>
          </cell>
        </row>
        <row r="919">
          <cell r="B919" t="str">
            <v>SBLO</v>
          </cell>
          <cell r="C919" t="str">
            <v>GOVERNADOR JOSÉ RICHA</v>
          </cell>
          <cell r="D919" t="str">
            <v>PR0003_4113700</v>
          </cell>
          <cell r="E919" t="str">
            <v>LONDRINA</v>
          </cell>
          <cell r="F919" t="str">
            <v>PR</v>
          </cell>
        </row>
        <row r="920">
          <cell r="B920" t="str">
            <v>SBMA</v>
          </cell>
          <cell r="C920" t="str">
            <v>JOÃO CORRÊA DA ROCHA</v>
          </cell>
          <cell r="D920" t="str">
            <v>PA0004_1504208</v>
          </cell>
          <cell r="E920" t="str">
            <v>MARABÁ</v>
          </cell>
          <cell r="F920" t="str">
            <v>PA</v>
          </cell>
        </row>
        <row r="921">
          <cell r="B921" t="str">
            <v>SBME</v>
          </cell>
          <cell r="C921" t="str">
            <v>MACAÉ</v>
          </cell>
          <cell r="D921" t="str">
            <v>RJ0004_3302403</v>
          </cell>
          <cell r="E921" t="str">
            <v>MACAÉ</v>
          </cell>
          <cell r="F921" t="str">
            <v>RJ</v>
          </cell>
        </row>
        <row r="922">
          <cell r="B922" t="str">
            <v>SBMK</v>
          </cell>
          <cell r="C922" t="str">
            <v>MÁRIO RIBEIRO</v>
          </cell>
          <cell r="D922" t="str">
            <v>MG0004_3143302</v>
          </cell>
          <cell r="E922" t="str">
            <v>MONTES CLAROS</v>
          </cell>
          <cell r="F922" t="str">
            <v>MG</v>
          </cell>
        </row>
        <row r="923">
          <cell r="B923" t="str">
            <v>SBML</v>
          </cell>
          <cell r="C923" t="str">
            <v>FRANK MILOYE MILENKOVICH</v>
          </cell>
          <cell r="D923" t="str">
            <v>SP0014_3529005</v>
          </cell>
          <cell r="E923" t="str">
            <v>MARÍLIA</v>
          </cell>
          <cell r="F923" t="str">
            <v>SP</v>
          </cell>
        </row>
        <row r="924">
          <cell r="B924" t="str">
            <v>SBNF</v>
          </cell>
          <cell r="C924" t="str">
            <v>MINISTRO VICTOR KONDER</v>
          </cell>
          <cell r="D924" t="str">
            <v>SC0002_4211306</v>
          </cell>
          <cell r="E924" t="str">
            <v>NAVEGANTES</v>
          </cell>
          <cell r="F924" t="str">
            <v>SC</v>
          </cell>
        </row>
        <row r="925">
          <cell r="B925" t="str">
            <v>SBPA</v>
          </cell>
          <cell r="C925" t="str">
            <v>SALGADO FILHO</v>
          </cell>
          <cell r="D925" t="str">
            <v>RS0001_4314902</v>
          </cell>
          <cell r="E925" t="str">
            <v>PORTO ALEGRE</v>
          </cell>
          <cell r="F925" t="str">
            <v>RS</v>
          </cell>
        </row>
        <row r="926">
          <cell r="B926" t="str">
            <v>SBPJ</v>
          </cell>
          <cell r="C926" t="str">
            <v>BRIGADEIRO LYSIAS RODRIGUES</v>
          </cell>
          <cell r="D926" t="str">
            <v>TO0001_1721000</v>
          </cell>
          <cell r="E926" t="str">
            <v>PALMAS</v>
          </cell>
          <cell r="F926" t="str">
            <v>TO</v>
          </cell>
        </row>
        <row r="927">
          <cell r="B927" t="str">
            <v>SBPK</v>
          </cell>
          <cell r="C927" t="str">
            <v>JOÃO SIMÕES LOPES NETO</v>
          </cell>
          <cell r="D927" t="str">
            <v>RS0005_4314407</v>
          </cell>
          <cell r="E927" t="str">
            <v>PELOTAS</v>
          </cell>
          <cell r="F927" t="str">
            <v>RS</v>
          </cell>
        </row>
        <row r="928">
          <cell r="B928" t="str">
            <v>SBPL</v>
          </cell>
          <cell r="C928" t="str">
            <v>AEROPORTO INTERNACIONAL SENADOR NILO COELHO</v>
          </cell>
          <cell r="D928" t="str">
            <v>PE0002_2611101</v>
          </cell>
          <cell r="E928" t="str">
            <v>PETROLINA</v>
          </cell>
          <cell r="F928" t="str">
            <v>PE</v>
          </cell>
        </row>
        <row r="929">
          <cell r="B929" t="str">
            <v>SBPP</v>
          </cell>
          <cell r="C929" t="str">
            <v>AEROPORTO INTERNACIONAL DE PONTA PORÃ</v>
          </cell>
          <cell r="D929" t="str">
            <v>MS0005_5006606</v>
          </cell>
          <cell r="E929" t="str">
            <v>PONTA PORÃ</v>
          </cell>
          <cell r="F929" t="str">
            <v>MS</v>
          </cell>
        </row>
        <row r="930">
          <cell r="B930" t="str">
            <v>SBPV</v>
          </cell>
          <cell r="C930" t="str">
            <v>GOVERNADOR JORGE TEIXEIRA DE OLIVEIRA</v>
          </cell>
          <cell r="D930" t="str">
            <v>RO0001_1100205</v>
          </cell>
          <cell r="E930" t="str">
            <v>PORTO VELHO</v>
          </cell>
          <cell r="F930" t="str">
            <v>RO</v>
          </cell>
        </row>
        <row r="931">
          <cell r="B931" t="str">
            <v>SBRB</v>
          </cell>
          <cell r="C931" t="str">
            <v>PLÁCIDO DE CASTRO</v>
          </cell>
          <cell r="D931" t="str">
            <v>AC0001_1200401</v>
          </cell>
          <cell r="E931" t="str">
            <v>RIO BRANCO</v>
          </cell>
          <cell r="F931" t="str">
            <v>AC</v>
          </cell>
        </row>
        <row r="932">
          <cell r="B932" t="str">
            <v>SBRD</v>
          </cell>
          <cell r="C932" t="str">
            <v>RONDONÓPOLIS - MAESTRO MARINHO FRANCO</v>
          </cell>
          <cell r="D932" t="str">
            <v>MT0004_5107602</v>
          </cell>
          <cell r="E932" t="str">
            <v>RONDONÓPOLIS</v>
          </cell>
          <cell r="F932" t="str">
            <v>MT</v>
          </cell>
        </row>
        <row r="933">
          <cell r="B933" t="str">
            <v>SBRF</v>
          </cell>
          <cell r="C933" t="str">
            <v>AEROPORTO INTERNACIONAL RECIFE/GUARARAPES - GILBERTO FREYRE</v>
          </cell>
          <cell r="D933" t="str">
            <v>PE0001_2611606</v>
          </cell>
          <cell r="E933" t="str">
            <v>RECIFE</v>
          </cell>
          <cell r="F933" t="str">
            <v>PE</v>
          </cell>
        </row>
        <row r="934">
          <cell r="B934" t="str">
            <v>SBRJ</v>
          </cell>
          <cell r="C934" t="str">
            <v>SANTOS DUMONT</v>
          </cell>
          <cell r="D934" t="str">
            <v>RJ0002_3304557</v>
          </cell>
          <cell r="E934" t="str">
            <v>RIO DE JANEIRO</v>
          </cell>
          <cell r="F934" t="str">
            <v>RJ</v>
          </cell>
        </row>
        <row r="935">
          <cell r="B935" t="str">
            <v>SBRP</v>
          </cell>
          <cell r="C935" t="str">
            <v>LEITE LOPES</v>
          </cell>
          <cell r="D935" t="str">
            <v>SP0004_3543402</v>
          </cell>
          <cell r="E935" t="str">
            <v>RIBEIRÃO PRETO</v>
          </cell>
          <cell r="F935" t="str">
            <v>SP</v>
          </cell>
        </row>
        <row r="936">
          <cell r="B936" t="str">
            <v>SBSG</v>
          </cell>
          <cell r="C936" t="str">
            <v>AEROPORTO INTERNACIONAL DO RIO GRANDE DO NORTE / SÃO GONÇALO DO AMARANTE - GOVERNADOR ALUIZIO ALVES</v>
          </cell>
          <cell r="D936" t="str">
            <v>RN0001_2412005</v>
          </cell>
          <cell r="E936" t="str">
            <v>SÃO GONÇALO DO AMARANTE</v>
          </cell>
          <cell r="F936" t="str">
            <v>RN</v>
          </cell>
        </row>
        <row r="937">
          <cell r="B937" t="str">
            <v>SBSI</v>
          </cell>
          <cell r="C937" t="str">
            <v>PRESIDENTE JOÃO BATISTA FIGUEIREDO</v>
          </cell>
          <cell r="D937" t="str">
            <v>MT0002_5107909</v>
          </cell>
          <cell r="E937" t="str">
            <v>SINOP</v>
          </cell>
          <cell r="F937" t="str">
            <v>MT</v>
          </cell>
        </row>
        <row r="938">
          <cell r="B938" t="str">
            <v>SBSL</v>
          </cell>
          <cell r="C938" t="str">
            <v>MARECHAL CUNHA MACHADO</v>
          </cell>
          <cell r="D938" t="str">
            <v>MA0001_2111300</v>
          </cell>
          <cell r="E938" t="str">
            <v>SÃO LUÍS</v>
          </cell>
          <cell r="F938" t="str">
            <v>MA</v>
          </cell>
        </row>
        <row r="939">
          <cell r="B939" t="str">
            <v>SBSN</v>
          </cell>
          <cell r="C939" t="str">
            <v>MAESTRO WILSON FONSECA</v>
          </cell>
          <cell r="D939" t="str">
            <v>PA0002_1506807</v>
          </cell>
          <cell r="E939" t="str">
            <v>SANTARÉM</v>
          </cell>
          <cell r="F939" t="str">
            <v>PA</v>
          </cell>
        </row>
        <row r="940">
          <cell r="B940" t="str">
            <v>SBSP</v>
          </cell>
          <cell r="C940" t="str">
            <v>SÃO PAULO/CONGONHAS - DEPUTADO FREITAS NOBRE</v>
          </cell>
          <cell r="D940" t="str">
            <v>SP0001_3550308</v>
          </cell>
          <cell r="E940" t="str">
            <v>SÃO PAULO</v>
          </cell>
          <cell r="F940" t="str">
            <v>SP</v>
          </cell>
        </row>
        <row r="941">
          <cell r="B941" t="str">
            <v>SBSR</v>
          </cell>
          <cell r="C941" t="str">
            <v>PROFESSOR ERIBERTO MANOEL REINO</v>
          </cell>
          <cell r="D941" t="str">
            <v>SP0006_3549805</v>
          </cell>
          <cell r="E941" t="str">
            <v>SÃO JOSÉ DO RIO PRETO</v>
          </cell>
          <cell r="F941" t="str">
            <v>SP</v>
          </cell>
        </row>
        <row r="942">
          <cell r="B942" t="str">
            <v>SBTC</v>
          </cell>
          <cell r="C942" t="str">
            <v>UNA/COMANDATUBA</v>
          </cell>
          <cell r="D942" t="str">
            <v>BA0067_2932507</v>
          </cell>
          <cell r="E942" t="str">
            <v>UNA</v>
          </cell>
          <cell r="F942" t="str">
            <v>BA</v>
          </cell>
        </row>
        <row r="943">
          <cell r="B943" t="str">
            <v>SBTE</v>
          </cell>
          <cell r="C943" t="str">
            <v>SENADOR PETRÔNIO PORTELLA</v>
          </cell>
          <cell r="D943" t="str">
            <v>PI0001_2211001</v>
          </cell>
          <cell r="E943" t="str">
            <v>TERESINA</v>
          </cell>
          <cell r="F943" t="str">
            <v>PI</v>
          </cell>
        </row>
        <row r="944">
          <cell r="B944" t="str">
            <v>SBTF</v>
          </cell>
          <cell r="C944" t="str">
            <v>PREFEITO ORLANDO MARINHO</v>
          </cell>
          <cell r="D944" t="str">
            <v>AM0004_1304203</v>
          </cell>
          <cell r="E944" t="str">
            <v>TEFÉ</v>
          </cell>
          <cell r="F944" t="str">
            <v>AM</v>
          </cell>
        </row>
        <row r="945">
          <cell r="B945" t="str">
            <v>SBTT</v>
          </cell>
          <cell r="C945" t="str">
            <v>TABATINGA</v>
          </cell>
          <cell r="D945" t="str">
            <v>AM0005_1304062</v>
          </cell>
          <cell r="E945" t="str">
            <v>TABATINGA</v>
          </cell>
          <cell r="F945" t="str">
            <v>AM</v>
          </cell>
        </row>
        <row r="946">
          <cell r="B946" t="str">
            <v>SBUG</v>
          </cell>
          <cell r="C946" t="str">
            <v>RUBEM BERTA</v>
          </cell>
          <cell r="D946" t="str">
            <v>RS0012_4322400</v>
          </cell>
          <cell r="E946" t="str">
            <v>URUGUAIANA</v>
          </cell>
          <cell r="F946" t="str">
            <v>RS</v>
          </cell>
        </row>
        <row r="947">
          <cell r="B947" t="str">
            <v>SBUL</v>
          </cell>
          <cell r="C947" t="str">
            <v>TEN CEL AVIADOR CÉSAR BOMBONATO</v>
          </cell>
          <cell r="D947" t="str">
            <v>MG0002_3170206</v>
          </cell>
          <cell r="E947" t="str">
            <v>UBERLÂNDIA</v>
          </cell>
          <cell r="F947" t="str">
            <v>MG</v>
          </cell>
        </row>
        <row r="948">
          <cell r="B948" t="str">
            <v>SBUR</v>
          </cell>
          <cell r="C948" t="str">
            <v>MARIO DE ALMEIDA FRANCO</v>
          </cell>
          <cell r="D948" t="str">
            <v>MG0009_3170107</v>
          </cell>
          <cell r="E948" t="str">
            <v>UBERABA</v>
          </cell>
          <cell r="F948" t="str">
            <v>MG</v>
          </cell>
        </row>
        <row r="949">
          <cell r="B949" t="str">
            <v>SBVT</v>
          </cell>
          <cell r="C949" t="str">
            <v>EURICO DE AGUIAR SALLES</v>
          </cell>
          <cell r="D949" t="str">
            <v>ES0001_3205309</v>
          </cell>
          <cell r="E949" t="str">
            <v>VITÓRIA</v>
          </cell>
          <cell r="F949" t="str">
            <v>ES</v>
          </cell>
        </row>
        <row r="950">
          <cell r="B950" t="str">
            <v>SSOU</v>
          </cell>
          <cell r="C950" t="str">
            <v>ARIPUANÃ</v>
          </cell>
          <cell r="D950" t="str">
            <v>MT0303_5101407</v>
          </cell>
          <cell r="E950" t="str">
            <v>ARIPUANÃ</v>
          </cell>
          <cell r="F950" t="str">
            <v>MT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missas"/>
      <sheetName val="Calculo-Desemb."/>
      <sheetName val="Resultado-Desemb."/>
    </sheetNames>
    <sheetDataSet>
      <sheetData sheetId="0" refreshError="1"/>
      <sheetData sheetId="1">
        <row r="6">
          <cell r="A6" t="str">
            <v>SBEK</v>
          </cell>
          <cell r="B6">
            <v>1513.58</v>
          </cell>
          <cell r="C6">
            <v>90137.113430080921</v>
          </cell>
        </row>
        <row r="7">
          <cell r="A7" t="str">
            <v>SBGM</v>
          </cell>
          <cell r="B7">
            <v>1962.43</v>
          </cell>
          <cell r="C7">
            <v>103098.53619961849</v>
          </cell>
        </row>
        <row r="8">
          <cell r="A8" t="str">
            <v>SBIC</v>
          </cell>
          <cell r="B8">
            <v>1823.45</v>
          </cell>
          <cell r="C8">
            <v>99085.216523757219</v>
          </cell>
        </row>
        <row r="9">
          <cell r="A9" t="str">
            <v>SBIH</v>
          </cell>
          <cell r="B9">
            <v>1560.65</v>
          </cell>
          <cell r="C9">
            <v>91496.351861098257</v>
          </cell>
        </row>
        <row r="10">
          <cell r="A10" t="str">
            <v>SBLE</v>
          </cell>
          <cell r="B10">
            <v>809.09</v>
          </cell>
          <cell r="C10">
            <v>69793.585019895952</v>
          </cell>
        </row>
        <row r="11">
          <cell r="A11" t="str">
            <v>SBMD</v>
          </cell>
          <cell r="B11">
            <v>1666.49</v>
          </cell>
          <cell r="C11">
            <v>94552.689136196524</v>
          </cell>
        </row>
        <row r="12">
          <cell r="A12" t="str">
            <v>SBMY</v>
          </cell>
          <cell r="B12">
            <v>1834.34</v>
          </cell>
          <cell r="C12">
            <v>99399.686600531786</v>
          </cell>
        </row>
        <row r="13">
          <cell r="A13" t="str">
            <v>SBTB</v>
          </cell>
          <cell r="B13">
            <v>1790.43</v>
          </cell>
          <cell r="C13">
            <v>98131.699357999998</v>
          </cell>
        </row>
        <row r="14">
          <cell r="A14" t="str">
            <v>SBTK</v>
          </cell>
          <cell r="B14">
            <v>2629.13</v>
          </cell>
          <cell r="C14">
            <v>122350.80435256647</v>
          </cell>
        </row>
        <row r="15">
          <cell r="A15" t="str">
            <v>SBTU</v>
          </cell>
          <cell r="B15">
            <v>1351.01</v>
          </cell>
          <cell r="C15">
            <v>85442.586305999997</v>
          </cell>
        </row>
        <row r="16">
          <cell r="A16" t="str">
            <v>SBUA</v>
          </cell>
          <cell r="B16">
            <v>2732.53</v>
          </cell>
          <cell r="C16">
            <v>125336.68184921387</v>
          </cell>
        </row>
        <row r="17">
          <cell r="A17" t="str">
            <v>SBUF</v>
          </cell>
          <cell r="B17">
            <v>392.25</v>
          </cell>
          <cell r="C17">
            <v>57756.513688150284</v>
          </cell>
        </row>
        <row r="18">
          <cell r="A18" t="str">
            <v>SBVH</v>
          </cell>
          <cell r="B18">
            <v>1359.78</v>
          </cell>
          <cell r="C18">
            <v>85695.837231005775</v>
          </cell>
        </row>
        <row r="19">
          <cell r="A19" t="str">
            <v>SDCG</v>
          </cell>
          <cell r="B19">
            <v>2677.18</v>
          </cell>
          <cell r="C19">
            <v>123738.34220279768</v>
          </cell>
        </row>
        <row r="20">
          <cell r="A20" t="str">
            <v>SDH2</v>
          </cell>
          <cell r="B20">
            <v>737.56</v>
          </cell>
          <cell r="C20">
            <v>67728.016186867055</v>
          </cell>
        </row>
        <row r="21">
          <cell r="A21" t="str">
            <v>SDP8</v>
          </cell>
          <cell r="B21">
            <v>2808</v>
          </cell>
          <cell r="C21">
            <v>127516.02589826589</v>
          </cell>
        </row>
        <row r="22">
          <cell r="A22" t="str">
            <v>SJNP</v>
          </cell>
          <cell r="B22">
            <v>1263.6300000000001</v>
          </cell>
          <cell r="C22">
            <v>82919.317682624271</v>
          </cell>
        </row>
        <row r="23">
          <cell r="A23" t="str">
            <v>SNAB</v>
          </cell>
          <cell r="B23">
            <v>617.87</v>
          </cell>
          <cell r="C23">
            <v>64271.733038184968</v>
          </cell>
        </row>
        <row r="24">
          <cell r="A24" t="str">
            <v>SNBI</v>
          </cell>
          <cell r="B24">
            <v>1193.6199999999999</v>
          </cell>
          <cell r="C24">
            <v>80897.641826335253</v>
          </cell>
        </row>
        <row r="25">
          <cell r="A25" t="str">
            <v>SNBS</v>
          </cell>
          <cell r="B25">
            <v>944.56</v>
          </cell>
          <cell r="C25">
            <v>73705.546571838146</v>
          </cell>
        </row>
        <row r="26">
          <cell r="A26" t="str">
            <v>SNDC</v>
          </cell>
          <cell r="B26">
            <v>896.04</v>
          </cell>
          <cell r="C26">
            <v>72304.43655116763</v>
          </cell>
        </row>
        <row r="27">
          <cell r="A27" t="str">
            <v>SNEB</v>
          </cell>
          <cell r="B27">
            <v>1425.76</v>
          </cell>
          <cell r="C27">
            <v>87601.13894501733</v>
          </cell>
        </row>
        <row r="28">
          <cell r="A28" t="str">
            <v>SNFX</v>
          </cell>
          <cell r="B28">
            <v>1111.3599999999999</v>
          </cell>
          <cell r="C28">
            <v>78522.22322987282</v>
          </cell>
        </row>
        <row r="29">
          <cell r="A29" t="str">
            <v>SNGI</v>
          </cell>
          <cell r="B29">
            <v>585.99</v>
          </cell>
          <cell r="C29">
            <v>63351.135604982657</v>
          </cell>
        </row>
        <row r="30">
          <cell r="A30" t="str">
            <v>SNGN</v>
          </cell>
          <cell r="B30">
            <v>185.37</v>
          </cell>
          <cell r="C30">
            <v>51782.448538184966</v>
          </cell>
        </row>
        <row r="31">
          <cell r="A31" t="str">
            <v>SNHS</v>
          </cell>
          <cell r="B31">
            <v>372.38</v>
          </cell>
          <cell r="C31">
            <v>57182.728525109822</v>
          </cell>
        </row>
        <row r="32">
          <cell r="A32" t="str">
            <v>SNSM</v>
          </cell>
          <cell r="B32">
            <v>1610.16</v>
          </cell>
          <cell r="C32">
            <v>92926.050070566474</v>
          </cell>
        </row>
        <row r="33">
          <cell r="A33" t="str">
            <v>SNVS</v>
          </cell>
          <cell r="B33">
            <v>1594.08</v>
          </cell>
          <cell r="C33">
            <v>92461.708579791899</v>
          </cell>
        </row>
        <row r="34">
          <cell r="A34" t="str">
            <v>SSKW</v>
          </cell>
          <cell r="B34">
            <v>1541.01</v>
          </cell>
          <cell r="C34">
            <v>90929.208398485542</v>
          </cell>
        </row>
        <row r="35">
          <cell r="A35" t="str">
            <v>SSOU</v>
          </cell>
          <cell r="B35">
            <v>1400.45</v>
          </cell>
          <cell r="C35">
            <v>86870.263128381499</v>
          </cell>
        </row>
        <row r="36">
          <cell r="A36" t="str">
            <v>SSRS</v>
          </cell>
          <cell r="B36">
            <v>1057.6199999999999</v>
          </cell>
          <cell r="C36">
            <v>76970.375486450852</v>
          </cell>
        </row>
        <row r="37">
          <cell r="A37" t="str">
            <v>SWBC</v>
          </cell>
          <cell r="B37">
            <v>2328.8000000000002</v>
          </cell>
          <cell r="C37">
            <v>113678.1874418497</v>
          </cell>
        </row>
        <row r="38">
          <cell r="A38" t="str">
            <v>SWBR</v>
          </cell>
          <cell r="B38">
            <v>1800.14</v>
          </cell>
          <cell r="C38">
            <v>98412.09462388439</v>
          </cell>
        </row>
        <row r="39">
          <cell r="A39" t="str">
            <v>SWCA</v>
          </cell>
          <cell r="B39">
            <v>2404.79</v>
          </cell>
          <cell r="C39">
            <v>115872.54750926011</v>
          </cell>
        </row>
        <row r="40">
          <cell r="A40" t="str">
            <v>SWCQ</v>
          </cell>
          <cell r="B40">
            <v>1800.41</v>
          </cell>
          <cell r="C40">
            <v>98419.891402647394</v>
          </cell>
        </row>
        <row r="41">
          <cell r="A41" t="str">
            <v>SWEI</v>
          </cell>
          <cell r="B41">
            <v>2602.89</v>
          </cell>
          <cell r="C41">
            <v>121593.07296463582</v>
          </cell>
        </row>
        <row r="42">
          <cell r="A42" t="str">
            <v>SWEK</v>
          </cell>
          <cell r="B42">
            <v>532.91</v>
          </cell>
          <cell r="C42">
            <v>61818.346654092486</v>
          </cell>
        </row>
        <row r="43">
          <cell r="A43" t="str">
            <v>SWGN</v>
          </cell>
          <cell r="B43">
            <v>956.59</v>
          </cell>
          <cell r="C43">
            <v>74052.93638116763</v>
          </cell>
        </row>
        <row r="44">
          <cell r="A44" t="str">
            <v>SWII</v>
          </cell>
          <cell r="B44">
            <v>2608.2600000000002</v>
          </cell>
          <cell r="C44">
            <v>121748.14223114451</v>
          </cell>
        </row>
        <row r="45">
          <cell r="A45" t="str">
            <v>SWJN</v>
          </cell>
          <cell r="B45">
            <v>1265.71</v>
          </cell>
          <cell r="C45">
            <v>82979.381756057803</v>
          </cell>
        </row>
        <row r="46">
          <cell r="A46" t="str">
            <v>SWKC</v>
          </cell>
          <cell r="B46">
            <v>1045.18</v>
          </cell>
          <cell r="C46">
            <v>76611.146124184976</v>
          </cell>
        </row>
        <row r="47">
          <cell r="A47" t="str">
            <v>SWKQ</v>
          </cell>
          <cell r="B47">
            <v>876.04</v>
          </cell>
          <cell r="C47">
            <v>71726.897383537565</v>
          </cell>
        </row>
        <row r="48">
          <cell r="A48" t="str">
            <v>SWLB</v>
          </cell>
          <cell r="B48">
            <v>2068.4299999999998</v>
          </cell>
          <cell r="C48">
            <v>106159.49378805779</v>
          </cell>
        </row>
        <row r="49">
          <cell r="A49" t="str">
            <v>SWMW</v>
          </cell>
          <cell r="B49">
            <v>1748.11</v>
          </cell>
          <cell r="C49">
            <v>96909.626479294791</v>
          </cell>
        </row>
        <row r="50">
          <cell r="A50" t="str">
            <v>SWOB</v>
          </cell>
          <cell r="B50">
            <v>2477.94</v>
          </cell>
          <cell r="C50">
            <v>117984.89701486705</v>
          </cell>
        </row>
        <row r="51">
          <cell r="A51" t="str">
            <v>SWPI</v>
          </cell>
          <cell r="B51">
            <v>1752.98</v>
          </cell>
          <cell r="C51">
            <v>97050.257266612709</v>
          </cell>
        </row>
        <row r="52">
          <cell r="A52" t="str">
            <v>SWPY</v>
          </cell>
          <cell r="B52">
            <v>682.69</v>
          </cell>
          <cell r="C52">
            <v>66143.537480473984</v>
          </cell>
        </row>
        <row r="53">
          <cell r="A53" t="str">
            <v>SWTP</v>
          </cell>
          <cell r="B53">
            <v>2576.04</v>
          </cell>
          <cell r="C53">
            <v>120817.72663209248</v>
          </cell>
        </row>
        <row r="54">
          <cell r="A54" t="str">
            <v>SWTS</v>
          </cell>
          <cell r="B54">
            <v>1031.5</v>
          </cell>
          <cell r="C54">
            <v>76216.109333526008</v>
          </cell>
        </row>
        <row r="55">
          <cell r="A55" t="str">
            <v>SWYN</v>
          </cell>
          <cell r="B55">
            <v>1619.84</v>
          </cell>
          <cell r="C55">
            <v>93205.579027699423</v>
          </cell>
        </row>
        <row r="56">
          <cell r="A56" t="str">
            <v>SBJE</v>
          </cell>
          <cell r="B56">
            <v>864</v>
          </cell>
          <cell r="C56">
            <v>71379.218804624281</v>
          </cell>
        </row>
        <row r="57">
          <cell r="A57" t="str">
            <v>SBAC</v>
          </cell>
          <cell r="B57">
            <v>502.6</v>
          </cell>
          <cell r="C57">
            <v>60943.086045549135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struções"/>
      <sheetName val="1.1 Atualização de Dados"/>
      <sheetName val="2. Simulador - Investimento"/>
      <sheetName val="2. Simulador - Manutenção"/>
      <sheetName val="2.1 BD — Simulações Salvas"/>
      <sheetName val="2.2 Relatório Sintético - Inv"/>
      <sheetName val="3. Simulação em rede"/>
      <sheetName val="3.1 Result. Simul. Rede – Inv."/>
      <sheetName val="3.2 Mapa Coroplético"/>
      <sheetName val="Projeção — Demanda PAX"/>
      <sheetName val="4.1 Glossário"/>
      <sheetName val="4.2 Lista de siglas"/>
      <sheetName val="4.3 Referências"/>
      <sheetName val="Classificação Cenários"/>
      <sheetName val="BD"/>
      <sheetName val="Cálculos da capacidade de pista"/>
      <sheetName val="Dados para capacidade de pista"/>
      <sheetName val="Cálculos - ANAC"/>
      <sheetName val="BD_Cálculos"/>
      <sheetName val="BD — Projeção PAN"/>
      <sheetName val="Pista de Pouso"/>
      <sheetName val="Faixa de Pista"/>
      <sheetName val="RESA"/>
      <sheetName val="Pista de Táxi"/>
      <sheetName val="Pátio de Aeronaves"/>
      <sheetName val="SESCINC"/>
      <sheetName val="Estacionamento de Veículos"/>
      <sheetName val="Terminal de Passageiros"/>
      <sheetName val="Terminal de Cargas"/>
      <sheetName val="Navegação Aérea"/>
      <sheetName val="SACII - Simulador Investimento_"/>
      <sheetName val="1__Instruções"/>
      <sheetName val="1_1_Atualização_de_Dados"/>
      <sheetName val="2__Simulador_-_Investimento"/>
      <sheetName val="2__Simulador_-_Manutenção"/>
      <sheetName val="2_1_BD_—_Simulações_Salvas"/>
      <sheetName val="2_2_Relatório_Sintético_-_Inv"/>
      <sheetName val="3__Simulação_em_rede"/>
      <sheetName val="3_1_Result__Simul__Rede_–_Inv_"/>
      <sheetName val="3_2_Mapa_Coroplético"/>
      <sheetName val="Projeção_—_Demanda_PAX"/>
      <sheetName val="4_1_Glossário"/>
      <sheetName val="4_2_Lista_de_siglas"/>
      <sheetName val="4_3_Referências"/>
      <sheetName val="Classificação_Cenários"/>
      <sheetName val="Cálculos_da_capacidade_de_pista"/>
      <sheetName val="Dados_para_capacidade_de_pista"/>
      <sheetName val="Cálculos_-_ANAC"/>
      <sheetName val="BD_—_Projeção_PAN"/>
      <sheetName val="Pista_de_Pouso"/>
      <sheetName val="Faixa_de_Pista"/>
      <sheetName val="Pista_de_Táxi"/>
      <sheetName val="Pátio_de_Aeronaves"/>
      <sheetName val="Estacionamento_de_Veículos"/>
      <sheetName val="Terminal_de_Passageiros"/>
      <sheetName val="Terminal_de_Cargas"/>
      <sheetName val="Navegação_Aérea"/>
      <sheetName val="SACII_-_Simulador_Investimento_"/>
      <sheetName val="1__Instruções1"/>
      <sheetName val="1_1_Atualização_de_Dados1"/>
      <sheetName val="2__Simulador_-_Investimento1"/>
      <sheetName val="2__Simulador_-_Manutenção1"/>
      <sheetName val="2_1_BD_—_Simulações_Salvas1"/>
      <sheetName val="2_2_Relatório_Sintético_-_Inv1"/>
      <sheetName val="3__Simulação_em_rede1"/>
      <sheetName val="3_1_Result__Simul__Rede_–_Inv_1"/>
      <sheetName val="3_2_Mapa_Coroplético1"/>
      <sheetName val="Projeção_—_Demanda_PAX1"/>
      <sheetName val="4_1_Glossário1"/>
      <sheetName val="4_2_Lista_de_siglas1"/>
      <sheetName val="4_3_Referências1"/>
      <sheetName val="Classificação_Cenários1"/>
      <sheetName val="Cálculos_da_capacidade_de_pist1"/>
      <sheetName val="Dados_para_capacidade_de_pista1"/>
      <sheetName val="Cálculos_-_ANAC1"/>
      <sheetName val="BD_—_Projeção_PAN1"/>
      <sheetName val="Pista_de_Pouso1"/>
      <sheetName val="Faixa_de_Pista1"/>
      <sheetName val="Pista_de_Táxi1"/>
      <sheetName val="Pátio_de_Aeronaves1"/>
      <sheetName val="Estacionamento_de_Veículos1"/>
      <sheetName val="Terminal_de_Passageiros1"/>
      <sheetName val="Terminal_de_Cargas1"/>
      <sheetName val="Navegação_Aérea1"/>
      <sheetName val="SACII_-_Simulador_Investimento1"/>
    </sheetNames>
    <sheetDataSet>
      <sheetData sheetId="0" refreshError="1"/>
      <sheetData sheetId="1">
        <row r="5">
          <cell r="B5" t="str">
            <v>AC</v>
          </cell>
          <cell r="C5">
            <v>0.17</v>
          </cell>
        </row>
        <row r="6">
          <cell r="B6" t="str">
            <v>AL</v>
          </cell>
          <cell r="C6">
            <v>0.18</v>
          </cell>
        </row>
        <row r="7">
          <cell r="B7" t="str">
            <v>AM</v>
          </cell>
          <cell r="C7">
            <v>0.18</v>
          </cell>
        </row>
        <row r="8">
          <cell r="B8" t="str">
            <v>AP</v>
          </cell>
          <cell r="C8">
            <v>0.18</v>
          </cell>
        </row>
        <row r="9">
          <cell r="B9" t="str">
            <v>BA</v>
          </cell>
          <cell r="C9">
            <v>0.18</v>
          </cell>
          <cell r="F9">
            <v>6.4999999999999997E-3</v>
          </cell>
        </row>
        <row r="10">
          <cell r="B10" t="str">
            <v>CE</v>
          </cell>
          <cell r="C10">
            <v>0.18</v>
          </cell>
          <cell r="F10">
            <v>0.03</v>
          </cell>
        </row>
        <row r="11">
          <cell r="B11" t="str">
            <v>DF</v>
          </cell>
          <cell r="C11">
            <v>0.18</v>
          </cell>
        </row>
        <row r="12">
          <cell r="B12" t="str">
            <v>ES</v>
          </cell>
          <cell r="C12">
            <v>0.17</v>
          </cell>
          <cell r="G12">
            <v>418.12400000000002</v>
          </cell>
        </row>
        <row r="13">
          <cell r="B13" t="str">
            <v>GO</v>
          </cell>
          <cell r="C13">
            <v>0.17</v>
          </cell>
        </row>
        <row r="14">
          <cell r="B14" t="str">
            <v>MA</v>
          </cell>
          <cell r="C14">
            <v>0.18</v>
          </cell>
        </row>
        <row r="15">
          <cell r="B15" t="str">
            <v>MG</v>
          </cell>
          <cell r="C15">
            <v>0.18</v>
          </cell>
        </row>
        <row r="16">
          <cell r="B16" t="str">
            <v>MS</v>
          </cell>
          <cell r="C16">
            <v>0.17</v>
          </cell>
        </row>
        <row r="17">
          <cell r="B17" t="str">
            <v>MT</v>
          </cell>
          <cell r="C17">
            <v>0.17</v>
          </cell>
        </row>
        <row r="18">
          <cell r="B18" t="str">
            <v>PA</v>
          </cell>
          <cell r="C18">
            <v>0.17</v>
          </cell>
        </row>
        <row r="19">
          <cell r="B19" t="str">
            <v>PB</v>
          </cell>
          <cell r="C19">
            <v>0.18</v>
          </cell>
        </row>
        <row r="20">
          <cell r="B20" t="str">
            <v>PE</v>
          </cell>
          <cell r="C20">
            <v>0.18</v>
          </cell>
        </row>
        <row r="21">
          <cell r="B21" t="str">
            <v>PI</v>
          </cell>
          <cell r="C21">
            <v>0.18</v>
          </cell>
        </row>
        <row r="22">
          <cell r="B22" t="str">
            <v>PR</v>
          </cell>
          <cell r="C22">
            <v>0.18</v>
          </cell>
        </row>
        <row r="23">
          <cell r="B23" t="str">
            <v>RJ</v>
          </cell>
          <cell r="C23">
            <v>0.2</v>
          </cell>
        </row>
        <row r="24">
          <cell r="B24" t="str">
            <v>RN</v>
          </cell>
          <cell r="C24">
            <v>0.18</v>
          </cell>
        </row>
        <row r="25">
          <cell r="B25" t="str">
            <v>RO</v>
          </cell>
          <cell r="C25">
            <v>0.17499999999999999</v>
          </cell>
        </row>
        <row r="26">
          <cell r="B26" t="str">
            <v>RR</v>
          </cell>
          <cell r="C26">
            <v>0.17</v>
          </cell>
        </row>
        <row r="27">
          <cell r="B27" t="str">
            <v>RS</v>
          </cell>
          <cell r="C27">
            <v>0.18</v>
          </cell>
        </row>
        <row r="28">
          <cell r="B28" t="str">
            <v>SC</v>
          </cell>
          <cell r="C28">
            <v>0.17</v>
          </cell>
        </row>
        <row r="29">
          <cell r="B29" t="str">
            <v>SE</v>
          </cell>
          <cell r="C29">
            <v>0.18</v>
          </cell>
        </row>
        <row r="30">
          <cell r="B30" t="str">
            <v>SP</v>
          </cell>
          <cell r="C30">
            <v>0.18</v>
          </cell>
        </row>
        <row r="31">
          <cell r="B31" t="str">
            <v>TO</v>
          </cell>
          <cell r="C31">
            <v>0.18</v>
          </cell>
        </row>
      </sheetData>
      <sheetData sheetId="2">
        <row r="121">
          <cell r="C121" t="str">
            <v>Não</v>
          </cell>
        </row>
        <row r="127">
          <cell r="C127" t="str">
            <v>Não</v>
          </cell>
          <cell r="L127" t="str">
            <v>Não</v>
          </cell>
        </row>
        <row r="134">
          <cell r="C134" t="str">
            <v>Não</v>
          </cell>
          <cell r="L134" t="str">
            <v>Não</v>
          </cell>
        </row>
        <row r="153">
          <cell r="C153" t="str">
            <v>Sugerido</v>
          </cell>
          <cell r="L153" t="str">
            <v>Sugerido</v>
          </cell>
        </row>
      </sheetData>
      <sheetData sheetId="3"/>
      <sheetData sheetId="4" refreshError="1"/>
      <sheetData sheetId="5" refreshError="1"/>
      <sheetData sheetId="6">
        <row r="1">
          <cell r="C1" t="str">
            <v>ICAO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Z5" t="str">
            <v>IFR Precisão</v>
          </cell>
          <cell r="AA5" t="str">
            <v>ü</v>
          </cell>
          <cell r="AB5" t="str">
            <v>ü</v>
          </cell>
          <cell r="AC5" t="str">
            <v>ü</v>
          </cell>
          <cell r="AD5" t="str">
            <v>ü</v>
          </cell>
          <cell r="AE5" t="str">
            <v>ü</v>
          </cell>
          <cell r="AF5" t="str">
            <v>û</v>
          </cell>
          <cell r="AG5" t="str">
            <v>û</v>
          </cell>
          <cell r="AH5" t="str">
            <v>ü</v>
          </cell>
        </row>
        <row r="6">
          <cell r="Q6" t="str">
            <v>Cenário 1</v>
          </cell>
          <cell r="R6" t="str">
            <v>IFR Precisão</v>
          </cell>
          <cell r="S6" t="str">
            <v>EMS-1</v>
          </cell>
          <cell r="T6" t="str">
            <v>û</v>
          </cell>
          <cell r="U6" t="str">
            <v>ü</v>
          </cell>
          <cell r="V6" t="str">
            <v>ü</v>
          </cell>
          <cell r="W6" t="str">
            <v>ü</v>
          </cell>
          <cell r="X6" t="str">
            <v>ü</v>
          </cell>
          <cell r="Z6" t="str">
            <v>IFR Não-Precisão</v>
          </cell>
          <cell r="AA6" t="str">
            <v>ü</v>
          </cell>
          <cell r="AB6" t="str">
            <v>ü</v>
          </cell>
          <cell r="AC6" t="str">
            <v>ü</v>
          </cell>
          <cell r="AD6" t="str">
            <v>ü</v>
          </cell>
          <cell r="AE6" t="str">
            <v>ü</v>
          </cell>
          <cell r="AF6" t="e">
            <v>#N/A</v>
          </cell>
          <cell r="AG6" t="str">
            <v>û</v>
          </cell>
          <cell r="AH6" t="str">
            <v>û</v>
          </cell>
        </row>
        <row r="7">
          <cell r="Q7" t="str">
            <v>Cenário 2</v>
          </cell>
          <cell r="R7" t="str">
            <v>IFR Não-Precisão</v>
          </cell>
          <cell r="S7" t="str">
            <v>EMS-2</v>
          </cell>
          <cell r="T7" t="str">
            <v>û</v>
          </cell>
          <cell r="U7" t="str">
            <v>ü</v>
          </cell>
          <cell r="V7" t="str">
            <v>ü</v>
          </cell>
          <cell r="W7" t="str">
            <v>û</v>
          </cell>
          <cell r="X7" t="str">
            <v>ü</v>
          </cell>
          <cell r="Z7" t="str">
            <v>VFR</v>
          </cell>
          <cell r="AA7" t="str">
            <v>ü</v>
          </cell>
          <cell r="AB7" t="str">
            <v>ü</v>
          </cell>
          <cell r="AC7" t="str">
            <v>ü</v>
          </cell>
          <cell r="AD7" t="str">
            <v>ü</v>
          </cell>
          <cell r="AE7" t="str">
            <v>ü</v>
          </cell>
          <cell r="AF7" t="e">
            <v>#N/A</v>
          </cell>
          <cell r="AG7" t="str">
            <v>û</v>
          </cell>
          <cell r="AH7" t="str">
            <v>û</v>
          </cell>
        </row>
        <row r="8">
          <cell r="Q8" t="str">
            <v>Cenário 3</v>
          </cell>
          <cell r="R8" t="str">
            <v>IFR Não-Precisão</v>
          </cell>
          <cell r="S8" t="str">
            <v>EMS-3</v>
          </cell>
          <cell r="T8" t="str">
            <v>ü</v>
          </cell>
          <cell r="U8" t="str">
            <v>û</v>
          </cell>
          <cell r="V8" t="str">
            <v>ü</v>
          </cell>
          <cell r="W8" t="str">
            <v>û</v>
          </cell>
          <cell r="X8" t="str">
            <v>ü</v>
          </cell>
        </row>
        <row r="9">
          <cell r="Q9" t="str">
            <v>Cenário 4</v>
          </cell>
          <cell r="R9" t="str">
            <v>IFR Não-Precisão</v>
          </cell>
          <cell r="S9" t="str">
            <v>EMS-3</v>
          </cell>
          <cell r="T9" t="str">
            <v>ü</v>
          </cell>
          <cell r="U9" t="str">
            <v>û</v>
          </cell>
          <cell r="V9" t="str">
            <v>û</v>
          </cell>
          <cell r="W9" t="str">
            <v>û</v>
          </cell>
          <cell r="X9" t="str">
            <v>û</v>
          </cell>
        </row>
        <row r="10">
          <cell r="Q10" t="str">
            <v>Cenário 5</v>
          </cell>
          <cell r="R10" t="str">
            <v>IFR Não-Precisão</v>
          </cell>
          <cell r="S10" t="str">
            <v>ERAA</v>
          </cell>
          <cell r="T10" t="str">
            <v>û</v>
          </cell>
          <cell r="U10" t="str">
            <v>û</v>
          </cell>
          <cell r="V10" t="str">
            <v>û</v>
          </cell>
          <cell r="W10" t="str">
            <v>û</v>
          </cell>
          <cell r="X10" t="str">
            <v>û</v>
          </cell>
        </row>
        <row r="11">
          <cell r="Q11" t="str">
            <v>Cenário 6</v>
          </cell>
          <cell r="R11" t="str">
            <v>VFR</v>
          </cell>
          <cell r="S11" t="str">
            <v>Não possui</v>
          </cell>
          <cell r="T11" t="str">
            <v>û</v>
          </cell>
          <cell r="U11" t="str">
            <v>û</v>
          </cell>
          <cell r="V11" t="str">
            <v>û</v>
          </cell>
          <cell r="W11" t="str">
            <v>û</v>
          </cell>
          <cell r="X11" t="str">
            <v>û</v>
          </cell>
        </row>
      </sheetData>
      <sheetData sheetId="14">
        <row r="5">
          <cell r="AD5" t="str">
            <v>A319</v>
          </cell>
          <cell r="AE5" t="str">
            <v>3C</v>
          </cell>
          <cell r="AF5">
            <v>1799</v>
          </cell>
          <cell r="AG5">
            <v>45</v>
          </cell>
          <cell r="AH5">
            <v>158</v>
          </cell>
          <cell r="AI5">
            <v>25</v>
          </cell>
          <cell r="AJ5">
            <v>26</v>
          </cell>
          <cell r="AK5">
            <v>38.5</v>
          </cell>
          <cell r="AS5">
            <v>6</v>
          </cell>
          <cell r="AT5">
            <v>300</v>
          </cell>
          <cell r="CA5">
            <v>5</v>
          </cell>
          <cell r="CB5">
            <v>0</v>
          </cell>
          <cell r="CC5">
            <v>20</v>
          </cell>
          <cell r="DF5">
            <v>2500</v>
          </cell>
          <cell r="IP5" t="str">
            <v>Média 2</v>
          </cell>
        </row>
        <row r="6">
          <cell r="M6" t="str">
            <v>A319</v>
          </cell>
          <cell r="P6">
            <v>1370</v>
          </cell>
          <cell r="Q6">
            <v>1799</v>
          </cell>
          <cell r="R6">
            <v>45</v>
          </cell>
          <cell r="S6">
            <v>45</v>
          </cell>
          <cell r="AD6" t="str">
            <v>A320</v>
          </cell>
          <cell r="AE6" t="str">
            <v>4C</v>
          </cell>
          <cell r="AF6">
            <v>2025</v>
          </cell>
          <cell r="AG6">
            <v>45</v>
          </cell>
          <cell r="AH6">
            <v>158</v>
          </cell>
          <cell r="AI6">
            <v>25</v>
          </cell>
          <cell r="AJ6">
            <v>26</v>
          </cell>
          <cell r="AK6">
            <v>40.5</v>
          </cell>
          <cell r="AS6">
            <v>6</v>
          </cell>
          <cell r="AT6">
            <v>300</v>
          </cell>
          <cell r="IP6" t="str">
            <v>Média 2</v>
          </cell>
        </row>
        <row r="7">
          <cell r="M7" t="str">
            <v>A320</v>
          </cell>
          <cell r="P7">
            <v>1525</v>
          </cell>
          <cell r="Q7">
            <v>2025</v>
          </cell>
          <cell r="R7">
            <v>45</v>
          </cell>
          <cell r="S7">
            <v>45</v>
          </cell>
          <cell r="AD7" t="str">
            <v>A320 NEO</v>
          </cell>
          <cell r="AE7" t="str">
            <v>3C</v>
          </cell>
          <cell r="AF7">
            <v>1775</v>
          </cell>
          <cell r="AG7">
            <v>45</v>
          </cell>
          <cell r="AH7">
            <v>158</v>
          </cell>
          <cell r="AI7">
            <v>25</v>
          </cell>
          <cell r="AJ7">
            <v>26</v>
          </cell>
          <cell r="AK7">
            <v>40.5</v>
          </cell>
          <cell r="AS7">
            <v>6</v>
          </cell>
          <cell r="AT7">
            <v>300</v>
          </cell>
          <cell r="IP7" t="str">
            <v>Média 2</v>
          </cell>
        </row>
        <row r="8">
          <cell r="M8" t="str">
            <v>A320 NEO</v>
          </cell>
          <cell r="P8">
            <v>1440</v>
          </cell>
          <cell r="Q8">
            <v>1775</v>
          </cell>
          <cell r="R8">
            <v>45</v>
          </cell>
          <cell r="S8">
            <v>45</v>
          </cell>
          <cell r="AD8" t="str">
            <v>A321 NEO</v>
          </cell>
          <cell r="AE8" t="str">
            <v>4C</v>
          </cell>
          <cell r="AF8">
            <v>2180</v>
          </cell>
          <cell r="AG8">
            <v>45</v>
          </cell>
          <cell r="AH8">
            <v>158</v>
          </cell>
          <cell r="AI8">
            <v>25</v>
          </cell>
          <cell r="AJ8">
            <v>26</v>
          </cell>
          <cell r="AK8">
            <v>40.5</v>
          </cell>
          <cell r="AS8">
            <v>7</v>
          </cell>
          <cell r="AT8">
            <v>500</v>
          </cell>
          <cell r="IP8" t="str">
            <v>Média 2</v>
          </cell>
        </row>
        <row r="9">
          <cell r="M9" t="str">
            <v>A321 NEO</v>
          </cell>
          <cell r="N9">
            <v>1200</v>
          </cell>
          <cell r="O9">
            <v>1385</v>
          </cell>
          <cell r="P9">
            <v>1720</v>
          </cell>
          <cell r="Q9">
            <v>2180</v>
          </cell>
          <cell r="R9">
            <v>45</v>
          </cell>
          <cell r="S9">
            <v>45</v>
          </cell>
          <cell r="AD9" t="str">
            <v>A330-200</v>
          </cell>
          <cell r="AE9" t="str">
            <v>4E</v>
          </cell>
          <cell r="AF9">
            <v>2520</v>
          </cell>
          <cell r="AG9">
            <v>60</v>
          </cell>
          <cell r="AH9">
            <v>172.5</v>
          </cell>
          <cell r="AI9">
            <v>38</v>
          </cell>
          <cell r="AJ9">
            <v>43.5</v>
          </cell>
          <cell r="AK9">
            <v>67.5</v>
          </cell>
          <cell r="AS9">
            <v>8</v>
          </cell>
          <cell r="AT9">
            <v>500</v>
          </cell>
          <cell r="IP9" t="str">
            <v>Pesada</v>
          </cell>
        </row>
        <row r="10">
          <cell r="M10" t="str">
            <v>A330-200</v>
          </cell>
          <cell r="O10">
            <v>1590</v>
          </cell>
          <cell r="P10">
            <v>1930</v>
          </cell>
          <cell r="Q10">
            <v>2520</v>
          </cell>
          <cell r="R10">
            <v>60</v>
          </cell>
          <cell r="S10">
            <v>45</v>
          </cell>
          <cell r="AD10" t="str">
            <v>A330-900</v>
          </cell>
          <cell r="AE10" t="str">
            <v>4E</v>
          </cell>
          <cell r="AF10">
            <v>2790</v>
          </cell>
          <cell r="AG10">
            <v>60</v>
          </cell>
          <cell r="AH10">
            <v>172.5</v>
          </cell>
          <cell r="AI10">
            <v>38</v>
          </cell>
          <cell r="AJ10">
            <v>43.5</v>
          </cell>
          <cell r="AK10">
            <v>71.5</v>
          </cell>
          <cell r="AS10">
            <v>9</v>
          </cell>
          <cell r="AT10">
            <v>800</v>
          </cell>
          <cell r="IP10" t="str">
            <v>Pesada</v>
          </cell>
        </row>
        <row r="11">
          <cell r="M11" t="str">
            <v>A330-900</v>
          </cell>
          <cell r="O11">
            <v>1840</v>
          </cell>
          <cell r="P11">
            <v>2040</v>
          </cell>
          <cell r="Q11">
            <v>2790</v>
          </cell>
          <cell r="R11">
            <v>60</v>
          </cell>
          <cell r="S11">
            <v>45</v>
          </cell>
          <cell r="AD11" t="str">
            <v>A350-900</v>
          </cell>
          <cell r="AE11" t="str">
            <v>4E</v>
          </cell>
          <cell r="AF11">
            <v>2840</v>
          </cell>
          <cell r="AG11">
            <v>60</v>
          </cell>
          <cell r="AH11">
            <v>172.5</v>
          </cell>
          <cell r="AI11">
            <v>38</v>
          </cell>
          <cell r="AJ11">
            <v>43.5</v>
          </cell>
          <cell r="AK11">
            <v>72.5</v>
          </cell>
          <cell r="AS11">
            <v>9</v>
          </cell>
          <cell r="AT11">
            <v>800</v>
          </cell>
          <cell r="IP11" t="str">
            <v>Pesada</v>
          </cell>
        </row>
        <row r="12">
          <cell r="M12" t="str">
            <v>A350-900</v>
          </cell>
          <cell r="O12">
            <v>1850</v>
          </cell>
          <cell r="P12">
            <v>2200</v>
          </cell>
          <cell r="Q12">
            <v>2840</v>
          </cell>
          <cell r="R12">
            <v>60</v>
          </cell>
          <cell r="S12">
            <v>45</v>
          </cell>
          <cell r="AD12" t="str">
            <v>B737-700</v>
          </cell>
          <cell r="AE12" t="str">
            <v>3C</v>
          </cell>
          <cell r="AF12">
            <v>1610</v>
          </cell>
          <cell r="AG12">
            <v>30</v>
          </cell>
          <cell r="AH12">
            <v>158</v>
          </cell>
          <cell r="AI12">
            <v>25</v>
          </cell>
          <cell r="AJ12">
            <v>26</v>
          </cell>
          <cell r="AK12">
            <v>40.5</v>
          </cell>
          <cell r="AS12">
            <v>6</v>
          </cell>
          <cell r="AT12">
            <v>300</v>
          </cell>
          <cell r="IP12" t="str">
            <v>Média 1</v>
          </cell>
        </row>
        <row r="13">
          <cell r="M13" t="str">
            <v>B737-700</v>
          </cell>
          <cell r="P13">
            <v>1365</v>
          </cell>
          <cell r="Q13">
            <v>1610</v>
          </cell>
          <cell r="R13">
            <v>30</v>
          </cell>
          <cell r="S13">
            <v>30</v>
          </cell>
          <cell r="AD13" t="str">
            <v>B737-800W</v>
          </cell>
          <cell r="AE13" t="str">
            <v>4C</v>
          </cell>
          <cell r="AF13">
            <v>2375</v>
          </cell>
          <cell r="AG13">
            <v>45</v>
          </cell>
          <cell r="AH13">
            <v>158</v>
          </cell>
          <cell r="AI13">
            <v>25</v>
          </cell>
          <cell r="AJ13">
            <v>26</v>
          </cell>
          <cell r="AK13">
            <v>40.5</v>
          </cell>
          <cell r="AS13">
            <v>7</v>
          </cell>
          <cell r="AT13">
            <v>500</v>
          </cell>
          <cell r="IP13" t="str">
            <v>Média 1</v>
          </cell>
        </row>
        <row r="14">
          <cell r="M14" t="str">
            <v>B737-800W</v>
          </cell>
          <cell r="N14">
            <v>1050</v>
          </cell>
          <cell r="O14">
            <v>1350</v>
          </cell>
          <cell r="P14">
            <v>1600</v>
          </cell>
          <cell r="Q14">
            <v>2010</v>
          </cell>
          <cell r="R14">
            <v>45</v>
          </cell>
          <cell r="S14">
            <v>45</v>
          </cell>
          <cell r="AD14" t="str">
            <v>B737-8 MAX</v>
          </cell>
          <cell r="AE14" t="str">
            <v>4C</v>
          </cell>
          <cell r="AF14">
            <v>2040</v>
          </cell>
          <cell r="AG14">
            <v>45</v>
          </cell>
          <cell r="AH14">
            <v>158</v>
          </cell>
          <cell r="AI14">
            <v>25</v>
          </cell>
          <cell r="AJ14">
            <v>26</v>
          </cell>
          <cell r="AK14">
            <v>40.5</v>
          </cell>
          <cell r="AS14">
            <v>7</v>
          </cell>
          <cell r="AT14">
            <v>500</v>
          </cell>
          <cell r="IP14" t="str">
            <v>Média 2</v>
          </cell>
        </row>
        <row r="15">
          <cell r="M15" t="str">
            <v>B737-8 MAX</v>
          </cell>
          <cell r="O15">
            <v>1350</v>
          </cell>
          <cell r="P15">
            <v>1665</v>
          </cell>
          <cell r="Q15">
            <v>2040</v>
          </cell>
          <cell r="R15">
            <v>45</v>
          </cell>
          <cell r="S15">
            <v>45</v>
          </cell>
          <cell r="AD15" t="str">
            <v>B767-300ER</v>
          </cell>
          <cell r="AE15" t="str">
            <v>4D</v>
          </cell>
          <cell r="AF15">
            <v>2600</v>
          </cell>
          <cell r="AG15">
            <v>60</v>
          </cell>
          <cell r="AH15">
            <v>166</v>
          </cell>
          <cell r="AI15">
            <v>34</v>
          </cell>
          <cell r="AJ15">
            <v>37</v>
          </cell>
          <cell r="AK15">
            <v>55.5</v>
          </cell>
          <cell r="AS15">
            <v>8</v>
          </cell>
          <cell r="AT15">
            <v>500</v>
          </cell>
          <cell r="IP15" t="str">
            <v>Média 2</v>
          </cell>
        </row>
        <row r="16">
          <cell r="M16" t="str">
            <v>B767-300ER</v>
          </cell>
          <cell r="N16">
            <v>1350</v>
          </cell>
          <cell r="O16">
            <v>1630</v>
          </cell>
          <cell r="P16">
            <v>2075</v>
          </cell>
          <cell r="Q16">
            <v>2715</v>
          </cell>
          <cell r="R16">
            <v>60</v>
          </cell>
          <cell r="S16">
            <v>45</v>
          </cell>
          <cell r="AD16" t="str">
            <v>B777-300ER</v>
          </cell>
          <cell r="AE16" t="str">
            <v>4E</v>
          </cell>
          <cell r="AF16">
            <v>3060</v>
          </cell>
          <cell r="AG16">
            <v>60</v>
          </cell>
          <cell r="AH16">
            <v>172.5</v>
          </cell>
          <cell r="AI16">
            <v>38</v>
          </cell>
          <cell r="AJ16">
            <v>43.5</v>
          </cell>
          <cell r="AK16">
            <v>72.5</v>
          </cell>
          <cell r="AS16">
            <v>9</v>
          </cell>
          <cell r="AT16">
            <v>800</v>
          </cell>
          <cell r="IP16" t="str">
            <v>Média 2</v>
          </cell>
        </row>
        <row r="17">
          <cell r="M17" t="str">
            <v>B777-300ER</v>
          </cell>
          <cell r="O17">
            <v>1930</v>
          </cell>
          <cell r="P17">
            <v>2450</v>
          </cell>
          <cell r="Q17">
            <v>3060</v>
          </cell>
          <cell r="R17">
            <v>60</v>
          </cell>
          <cell r="S17">
            <v>45</v>
          </cell>
          <cell r="AD17" t="str">
            <v>B787-8 Dreamliner</v>
          </cell>
          <cell r="AE17" t="str">
            <v>4E</v>
          </cell>
          <cell r="AF17">
            <v>3100</v>
          </cell>
          <cell r="AG17">
            <v>60</v>
          </cell>
          <cell r="AH17">
            <v>172.5</v>
          </cell>
          <cell r="AI17">
            <v>38</v>
          </cell>
          <cell r="AJ17">
            <v>43.5</v>
          </cell>
          <cell r="AK17">
            <v>63.5</v>
          </cell>
          <cell r="AS17">
            <v>8</v>
          </cell>
          <cell r="AT17">
            <v>500</v>
          </cell>
          <cell r="IP17" t="str">
            <v>Média 2</v>
          </cell>
        </row>
        <row r="18">
          <cell r="M18" t="str">
            <v>B787-8 Dreamliner</v>
          </cell>
          <cell r="O18">
            <v>1815</v>
          </cell>
          <cell r="P18">
            <v>2300</v>
          </cell>
          <cell r="Q18">
            <v>3100</v>
          </cell>
          <cell r="R18">
            <v>60</v>
          </cell>
          <cell r="S18">
            <v>45</v>
          </cell>
          <cell r="AD18" t="str">
            <v>CRJ200</v>
          </cell>
          <cell r="AE18" t="str">
            <v>4B</v>
          </cell>
          <cell r="AF18">
            <v>1910</v>
          </cell>
          <cell r="AG18">
            <v>45</v>
          </cell>
          <cell r="AH18">
            <v>152</v>
          </cell>
          <cell r="AI18">
            <v>25</v>
          </cell>
          <cell r="AJ18">
            <v>20</v>
          </cell>
          <cell r="AK18">
            <v>24</v>
          </cell>
          <cell r="AS18">
            <v>6</v>
          </cell>
          <cell r="AT18">
            <v>300</v>
          </cell>
          <cell r="IP18" t="str">
            <v>Média 2</v>
          </cell>
        </row>
        <row r="19">
          <cell r="M19" t="str">
            <v>CRJ200</v>
          </cell>
          <cell r="N19">
            <v>950</v>
          </cell>
          <cell r="O19">
            <v>1220</v>
          </cell>
          <cell r="P19">
            <v>1540</v>
          </cell>
          <cell r="Q19">
            <v>1910</v>
          </cell>
          <cell r="R19">
            <v>45</v>
          </cell>
          <cell r="S19">
            <v>45</v>
          </cell>
          <cell r="AD19" t="str">
            <v>C208 Grand Caravan</v>
          </cell>
          <cell r="AE19" t="str">
            <v>1B</v>
          </cell>
          <cell r="AF19">
            <v>658</v>
          </cell>
          <cell r="AG19">
            <v>30</v>
          </cell>
          <cell r="AH19">
            <v>82</v>
          </cell>
          <cell r="AI19">
            <v>8</v>
          </cell>
          <cell r="AJ19">
            <v>20</v>
          </cell>
          <cell r="AK19">
            <v>19</v>
          </cell>
          <cell r="AS19">
            <v>3</v>
          </cell>
          <cell r="AT19">
            <v>100</v>
          </cell>
          <cell r="IP19" t="str">
            <v>Pesada</v>
          </cell>
        </row>
        <row r="20">
          <cell r="M20" t="str">
            <v>C208 Grand Caravan</v>
          </cell>
          <cell r="Q20">
            <v>658</v>
          </cell>
          <cell r="R20">
            <v>30</v>
          </cell>
          <cell r="S20">
            <v>30</v>
          </cell>
          <cell r="AD20" t="str">
            <v>EMB-195</v>
          </cell>
          <cell r="AE20" t="str">
            <v>4C</v>
          </cell>
          <cell r="AF20">
            <v>2092</v>
          </cell>
          <cell r="AG20">
            <v>45</v>
          </cell>
          <cell r="AH20">
            <v>158</v>
          </cell>
          <cell r="AI20">
            <v>25</v>
          </cell>
          <cell r="AJ20">
            <v>26</v>
          </cell>
          <cell r="AK20">
            <v>33.5</v>
          </cell>
          <cell r="AS20">
            <v>6</v>
          </cell>
          <cell r="AT20">
            <v>250</v>
          </cell>
          <cell r="IP20" t="str">
            <v>Pesada</v>
          </cell>
        </row>
        <row r="21">
          <cell r="M21" t="str">
            <v>EMB-195</v>
          </cell>
          <cell r="N21">
            <v>975</v>
          </cell>
          <cell r="O21">
            <v>1235</v>
          </cell>
          <cell r="P21">
            <v>1590</v>
          </cell>
          <cell r="Q21">
            <v>2092</v>
          </cell>
          <cell r="R21">
            <v>45</v>
          </cell>
          <cell r="S21">
            <v>45</v>
          </cell>
          <cell r="AD21" t="str">
            <v>EMB-195 E2</v>
          </cell>
          <cell r="AE21" t="str">
            <v>4C</v>
          </cell>
          <cell r="AF21">
            <v>1740</v>
          </cell>
          <cell r="AG21">
            <v>45</v>
          </cell>
          <cell r="AH21">
            <v>158</v>
          </cell>
          <cell r="AI21">
            <v>25</v>
          </cell>
          <cell r="AJ21">
            <v>26</v>
          </cell>
          <cell r="AK21">
            <v>33.5</v>
          </cell>
          <cell r="AS21">
            <v>6</v>
          </cell>
          <cell r="AT21">
            <v>300</v>
          </cell>
          <cell r="IP21" t="str">
            <v>Média 3</v>
          </cell>
        </row>
        <row r="22">
          <cell r="M22" t="str">
            <v>EMB-195 E2</v>
          </cell>
          <cell r="O22">
            <v>1130</v>
          </cell>
          <cell r="P22">
            <v>1405</v>
          </cell>
          <cell r="Q22">
            <v>1740</v>
          </cell>
          <cell r="R22">
            <v>45</v>
          </cell>
          <cell r="S22">
            <v>45</v>
          </cell>
          <cell r="AD22" t="str">
            <v>SkyCourier</v>
          </cell>
          <cell r="AE22" t="str">
            <v>2B</v>
          </cell>
          <cell r="AF22">
            <v>1006</v>
          </cell>
          <cell r="AG22">
            <v>30</v>
          </cell>
          <cell r="AH22">
            <v>82</v>
          </cell>
          <cell r="AI22">
            <v>8</v>
          </cell>
          <cell r="AJ22">
            <v>20</v>
          </cell>
          <cell r="AK22">
            <v>25</v>
          </cell>
          <cell r="AS22">
            <v>3</v>
          </cell>
          <cell r="AT22">
            <v>150</v>
          </cell>
          <cell r="IP22" t="str">
            <v>Pesada</v>
          </cell>
        </row>
        <row r="23">
          <cell r="M23" t="str">
            <v>SkyCourier</v>
          </cell>
          <cell r="Q23">
            <v>1006</v>
          </cell>
          <cell r="R23">
            <v>30</v>
          </cell>
          <cell r="S23">
            <v>30</v>
          </cell>
          <cell r="AD23" t="str">
            <v>ATR 42</v>
          </cell>
          <cell r="AE23" t="str">
            <v>2C</v>
          </cell>
          <cell r="AF23">
            <v>1165</v>
          </cell>
          <cell r="AG23">
            <v>30</v>
          </cell>
          <cell r="AH23">
            <v>88</v>
          </cell>
          <cell r="AI23">
            <v>25</v>
          </cell>
          <cell r="AJ23">
            <v>26</v>
          </cell>
          <cell r="AK23">
            <v>29.5</v>
          </cell>
          <cell r="AS23">
            <v>5</v>
          </cell>
          <cell r="AT23">
            <v>200</v>
          </cell>
          <cell r="IP23" t="str">
            <v>Pesada</v>
          </cell>
        </row>
        <row r="24">
          <cell r="M24" t="str">
            <v>ATR 42</v>
          </cell>
          <cell r="Q24">
            <v>1165</v>
          </cell>
          <cell r="R24">
            <v>30</v>
          </cell>
          <cell r="S24">
            <v>30</v>
          </cell>
          <cell r="AD24" t="str">
            <v>ATR 72</v>
          </cell>
          <cell r="AE24" t="str">
            <v>3C</v>
          </cell>
          <cell r="AF24">
            <v>1280</v>
          </cell>
          <cell r="AG24">
            <v>30</v>
          </cell>
          <cell r="AH24">
            <v>158</v>
          </cell>
          <cell r="AI24">
            <v>25</v>
          </cell>
          <cell r="AJ24">
            <v>26</v>
          </cell>
          <cell r="AK24">
            <v>31.5</v>
          </cell>
          <cell r="AS24">
            <v>5</v>
          </cell>
          <cell r="AT24">
            <v>250</v>
          </cell>
          <cell r="IP24" t="str">
            <v>Pesada</v>
          </cell>
        </row>
        <row r="25">
          <cell r="M25" t="str">
            <v>ATR 72</v>
          </cell>
          <cell r="N25">
            <v>900</v>
          </cell>
          <cell r="O25">
            <v>930</v>
          </cell>
          <cell r="P25">
            <v>1070</v>
          </cell>
          <cell r="Q25">
            <v>1280</v>
          </cell>
          <cell r="R25">
            <v>30</v>
          </cell>
          <cell r="S25">
            <v>30</v>
          </cell>
          <cell r="AD25" t="str">
            <v>A330-200F</v>
          </cell>
          <cell r="AE25" t="str">
            <v>4E</v>
          </cell>
          <cell r="AF25">
            <v>2520</v>
          </cell>
          <cell r="AG25">
            <v>45</v>
          </cell>
          <cell r="AH25">
            <v>172.5</v>
          </cell>
          <cell r="AI25">
            <v>38</v>
          </cell>
          <cell r="AJ25">
            <v>43.5</v>
          </cell>
          <cell r="AK25">
            <v>67.5</v>
          </cell>
          <cell r="AS25">
            <v>6</v>
          </cell>
          <cell r="AT25">
            <v>800</v>
          </cell>
          <cell r="IP25" t="str">
            <v>Pesada</v>
          </cell>
        </row>
        <row r="26">
          <cell r="M26" t="str">
            <v>A330-200F</v>
          </cell>
          <cell r="O26">
            <v>1540</v>
          </cell>
          <cell r="P26">
            <v>1930</v>
          </cell>
          <cell r="Q26">
            <v>2520</v>
          </cell>
          <cell r="R26">
            <v>45</v>
          </cell>
          <cell r="S26">
            <v>45</v>
          </cell>
          <cell r="AD26" t="str">
            <v>B737-300F</v>
          </cell>
          <cell r="AE26" t="str">
            <v>4C</v>
          </cell>
          <cell r="AF26">
            <v>2210</v>
          </cell>
          <cell r="AG26">
            <v>45</v>
          </cell>
          <cell r="AH26">
            <v>158</v>
          </cell>
          <cell r="AI26">
            <v>25</v>
          </cell>
          <cell r="AJ26">
            <v>26</v>
          </cell>
          <cell r="AK26">
            <v>33.5</v>
          </cell>
          <cell r="AS26">
            <v>5</v>
          </cell>
          <cell r="AT26">
            <v>300</v>
          </cell>
          <cell r="IP26" t="str">
            <v>Média 1</v>
          </cell>
        </row>
        <row r="27">
          <cell r="M27" t="str">
            <v>B737-300F</v>
          </cell>
          <cell r="O27">
            <v>1295</v>
          </cell>
          <cell r="P27">
            <v>1630</v>
          </cell>
          <cell r="Q27">
            <v>2210</v>
          </cell>
          <cell r="R27">
            <v>45</v>
          </cell>
          <cell r="S27">
            <v>45</v>
          </cell>
          <cell r="AD27" t="str">
            <v>B737-400F</v>
          </cell>
          <cell r="AE27" t="str">
            <v>4C</v>
          </cell>
          <cell r="AF27">
            <v>2200</v>
          </cell>
          <cell r="AG27">
            <v>45</v>
          </cell>
          <cell r="AH27">
            <v>158</v>
          </cell>
          <cell r="AI27">
            <v>25</v>
          </cell>
          <cell r="AJ27">
            <v>26</v>
          </cell>
          <cell r="AK27">
            <v>33.5</v>
          </cell>
          <cell r="AS27">
            <v>5</v>
          </cell>
          <cell r="AT27">
            <v>300</v>
          </cell>
          <cell r="IP27" t="str">
            <v>Leve 2</v>
          </cell>
        </row>
        <row r="28">
          <cell r="M28" t="str">
            <v>B737-400F</v>
          </cell>
          <cell r="O28">
            <v>1285</v>
          </cell>
          <cell r="P28">
            <v>1660</v>
          </cell>
          <cell r="Q28">
            <v>2200</v>
          </cell>
          <cell r="R28">
            <v>45</v>
          </cell>
          <cell r="S28">
            <v>45</v>
          </cell>
          <cell r="AD28" t="str">
            <v>B747-400F</v>
          </cell>
          <cell r="AE28" t="str">
            <v>4E</v>
          </cell>
          <cell r="AF28">
            <v>3180</v>
          </cell>
          <cell r="AG28">
            <v>60</v>
          </cell>
          <cell r="AH28">
            <v>172.5</v>
          </cell>
          <cell r="AI28">
            <v>38</v>
          </cell>
          <cell r="AJ28">
            <v>43.5</v>
          </cell>
          <cell r="AK28">
            <v>72.5</v>
          </cell>
          <cell r="AS28">
            <v>7</v>
          </cell>
          <cell r="AT28">
            <v>800</v>
          </cell>
          <cell r="IP28" t="str">
            <v>Leve 2</v>
          </cell>
        </row>
        <row r="29">
          <cell r="M29" t="str">
            <v>B747-400F</v>
          </cell>
          <cell r="O29">
            <v>1975</v>
          </cell>
          <cell r="P29">
            <v>2500</v>
          </cell>
          <cell r="Q29">
            <v>3180</v>
          </cell>
          <cell r="R29">
            <v>60</v>
          </cell>
          <cell r="S29">
            <v>45</v>
          </cell>
          <cell r="AD29" t="str">
            <v>B747-800F</v>
          </cell>
          <cell r="AE29" t="str">
            <v>4F</v>
          </cell>
          <cell r="AF29">
            <v>3100</v>
          </cell>
          <cell r="AG29">
            <v>75</v>
          </cell>
          <cell r="AH29">
            <v>180</v>
          </cell>
          <cell r="AI29">
            <v>44</v>
          </cell>
          <cell r="AJ29">
            <v>51</v>
          </cell>
          <cell r="AK29">
            <v>75.5</v>
          </cell>
          <cell r="AS29">
            <v>9</v>
          </cell>
          <cell r="AT29">
            <v>1200</v>
          </cell>
          <cell r="IP29" t="str">
            <v>Média 2</v>
          </cell>
        </row>
        <row r="30">
          <cell r="M30" t="str">
            <v>B747-800F</v>
          </cell>
          <cell r="O30">
            <v>1950</v>
          </cell>
          <cell r="P30">
            <v>2400</v>
          </cell>
          <cell r="Q30">
            <v>3100</v>
          </cell>
          <cell r="R30">
            <v>45</v>
          </cell>
          <cell r="S30">
            <v>45</v>
          </cell>
          <cell r="AD30" t="str">
            <v>B767-300F</v>
          </cell>
          <cell r="AE30" t="str">
            <v>4D</v>
          </cell>
          <cell r="AF30">
            <v>2715</v>
          </cell>
          <cell r="AG30">
            <v>60</v>
          </cell>
          <cell r="AH30">
            <v>166</v>
          </cell>
          <cell r="AI30">
            <v>34</v>
          </cell>
          <cell r="AJ30">
            <v>37</v>
          </cell>
          <cell r="AK30">
            <v>55.5</v>
          </cell>
          <cell r="AS30">
            <v>6</v>
          </cell>
          <cell r="AT30">
            <v>500</v>
          </cell>
          <cell r="IP30" t="str">
            <v>Média 2</v>
          </cell>
        </row>
        <row r="31">
          <cell r="M31" t="str">
            <v>B767-300F</v>
          </cell>
          <cell r="N31">
            <v>1350</v>
          </cell>
          <cell r="O31">
            <v>1630</v>
          </cell>
          <cell r="P31">
            <v>2075</v>
          </cell>
          <cell r="Q31">
            <v>2715</v>
          </cell>
          <cell r="R31">
            <v>60</v>
          </cell>
          <cell r="S31">
            <v>45</v>
          </cell>
          <cell r="AD31" t="str">
            <v>C208F Grand Caravan</v>
          </cell>
          <cell r="AE31" t="str">
            <v>1B</v>
          </cell>
          <cell r="AF31">
            <v>658</v>
          </cell>
          <cell r="AG31">
            <v>18</v>
          </cell>
          <cell r="AH31">
            <v>152</v>
          </cell>
          <cell r="AI31">
            <v>8</v>
          </cell>
          <cell r="AJ31">
            <v>20</v>
          </cell>
          <cell r="AK31">
            <v>19</v>
          </cell>
          <cell r="AS31">
            <v>3</v>
          </cell>
          <cell r="AT31">
            <v>100</v>
          </cell>
          <cell r="IP31" t="str">
            <v>Média 2</v>
          </cell>
        </row>
        <row r="32">
          <cell r="M32" t="str">
            <v>C208F Grand Caravan</v>
          </cell>
          <cell r="Q32">
            <v>658</v>
          </cell>
          <cell r="R32">
            <v>18</v>
          </cell>
          <cell r="S32">
            <v>18</v>
          </cell>
          <cell r="AD32" t="str">
            <v>A330-300</v>
          </cell>
          <cell r="AE32" t="str">
            <v>4E</v>
          </cell>
          <cell r="AF32">
            <v>2776</v>
          </cell>
          <cell r="AG32">
            <v>60</v>
          </cell>
          <cell r="AH32">
            <v>172.5</v>
          </cell>
          <cell r="AI32">
            <v>38</v>
          </cell>
          <cell r="AJ32">
            <v>43.5</v>
          </cell>
          <cell r="AK32">
            <v>67.5</v>
          </cell>
          <cell r="AS32">
            <v>9</v>
          </cell>
          <cell r="AT32">
            <v>800</v>
          </cell>
          <cell r="IP32" t="str">
            <v>Média 2</v>
          </cell>
        </row>
        <row r="33">
          <cell r="M33" t="str">
            <v>A330-300</v>
          </cell>
          <cell r="O33">
            <v>1650</v>
          </cell>
          <cell r="P33">
            <v>2020</v>
          </cell>
          <cell r="Q33">
            <v>2776</v>
          </cell>
          <cell r="R33">
            <v>60</v>
          </cell>
          <cell r="S33">
            <v>45</v>
          </cell>
          <cell r="IP33" t="str">
            <v>Média 2</v>
          </cell>
        </row>
        <row r="34">
          <cell r="IP34" t="str">
            <v>Pesada</v>
          </cell>
        </row>
        <row r="35">
          <cell r="IP35" t="str">
            <v>Pesada</v>
          </cell>
        </row>
        <row r="36">
          <cell r="IP36" t="str">
            <v>Pesada</v>
          </cell>
        </row>
        <row r="37">
          <cell r="IP37" t="str">
            <v>Leve 1</v>
          </cell>
        </row>
        <row r="38">
          <cell r="IP38" t="str">
            <v>Leve 1</v>
          </cell>
        </row>
        <row r="39">
          <cell r="IP39" t="str">
            <v>Leve 1</v>
          </cell>
        </row>
        <row r="40">
          <cell r="IP40" t="str">
            <v>Leve 1</v>
          </cell>
        </row>
        <row r="41">
          <cell r="IP41" t="str">
            <v>Leve 1</v>
          </cell>
        </row>
        <row r="42">
          <cell r="IP42" t="str">
            <v>Leve 1</v>
          </cell>
        </row>
        <row r="43">
          <cell r="IP43" t="str">
            <v>Leve 1</v>
          </cell>
        </row>
        <row r="44">
          <cell r="IP44" t="str">
            <v>Leve 2</v>
          </cell>
        </row>
        <row r="45">
          <cell r="IP45" t="str">
            <v>Média 1</v>
          </cell>
        </row>
        <row r="46">
          <cell r="IP46" t="str">
            <v>Leve 1</v>
          </cell>
        </row>
        <row r="47">
          <cell r="IP47" t="str">
            <v>Leve 1</v>
          </cell>
        </row>
        <row r="48">
          <cell r="IP48" t="str">
            <v>Leve 2</v>
          </cell>
        </row>
        <row r="49">
          <cell r="IP49" t="str">
            <v>Média 1</v>
          </cell>
        </row>
        <row r="90">
          <cell r="AH90">
            <v>2.4</v>
          </cell>
        </row>
        <row r="91">
          <cell r="AM91" t="str">
            <v>AC</v>
          </cell>
          <cell r="AN91" t="str">
            <v>Acre</v>
          </cell>
          <cell r="AO91" t="str">
            <v>Norte</v>
          </cell>
        </row>
        <row r="92">
          <cell r="AM92" t="str">
            <v>AL</v>
          </cell>
          <cell r="AN92" t="str">
            <v>Alagoas</v>
          </cell>
          <cell r="AO92" t="str">
            <v>Nordeste</v>
          </cell>
        </row>
        <row r="93">
          <cell r="AM93" t="str">
            <v>AM</v>
          </cell>
          <cell r="AN93" t="str">
            <v>Amazonas</v>
          </cell>
          <cell r="AO93" t="str">
            <v>Norte</v>
          </cell>
        </row>
        <row r="94">
          <cell r="AM94" t="str">
            <v>AP</v>
          </cell>
          <cell r="AN94" t="str">
            <v>Amapá</v>
          </cell>
          <cell r="AO94" t="str">
            <v>Norte</v>
          </cell>
        </row>
        <row r="95">
          <cell r="AB95">
            <v>1.25</v>
          </cell>
          <cell r="AM95" t="str">
            <v>BA</v>
          </cell>
          <cell r="AN95" t="str">
            <v>Bahia</v>
          </cell>
          <cell r="AO95" t="str">
            <v>Nordeste</v>
          </cell>
        </row>
        <row r="96">
          <cell r="AM96" t="str">
            <v>CE</v>
          </cell>
          <cell r="AN96" t="str">
            <v>Ceará</v>
          </cell>
          <cell r="AO96" t="str">
            <v>Nordeste</v>
          </cell>
        </row>
        <row r="97">
          <cell r="U97">
            <v>0.2097</v>
          </cell>
          <cell r="AM97" t="str">
            <v>DF</v>
          </cell>
          <cell r="AN97" t="str">
            <v>Distrito Federal</v>
          </cell>
          <cell r="AO97" t="str">
            <v>Centro-Oeste</v>
          </cell>
        </row>
        <row r="98">
          <cell r="U98">
            <v>0.21240000000000001</v>
          </cell>
          <cell r="AM98" t="str">
            <v>ES</v>
          </cell>
          <cell r="AN98" t="str">
            <v>Espírito Santo</v>
          </cell>
          <cell r="AO98" t="str">
            <v>Sudeste</v>
          </cell>
        </row>
        <row r="99">
          <cell r="AM99" t="str">
            <v>GO</v>
          </cell>
          <cell r="AN99" t="str">
            <v>Goiás</v>
          </cell>
          <cell r="AO99" t="str">
            <v>Centro-Oeste</v>
          </cell>
        </row>
        <row r="100">
          <cell r="AM100" t="str">
            <v>MA</v>
          </cell>
          <cell r="AN100" t="str">
            <v>Maranhão</v>
          </cell>
          <cell r="AO100" t="str">
            <v>Nordeste</v>
          </cell>
        </row>
        <row r="101">
          <cell r="AM101" t="str">
            <v>MT</v>
          </cell>
          <cell r="AN101" t="str">
            <v>Mato Grosso</v>
          </cell>
          <cell r="AO101" t="str">
            <v>Centro-Oeste</v>
          </cell>
        </row>
        <row r="102">
          <cell r="U102">
            <v>7.4999999999999997E-2</v>
          </cell>
          <cell r="AM102" t="str">
            <v>MS</v>
          </cell>
          <cell r="AN102" t="str">
            <v>Mato Grosso do Sul</v>
          </cell>
          <cell r="AO102" t="str">
            <v>Centro-Oeste</v>
          </cell>
        </row>
        <row r="103">
          <cell r="AM103" t="str">
            <v>MG</v>
          </cell>
          <cell r="AN103" t="str">
            <v>Minas Gerais</v>
          </cell>
          <cell r="AO103" t="str">
            <v>Sudeste</v>
          </cell>
        </row>
        <row r="104">
          <cell r="AM104" t="str">
            <v>PA</v>
          </cell>
          <cell r="AN104" t="str">
            <v>Pará</v>
          </cell>
          <cell r="AO104" t="str">
            <v>Norte</v>
          </cell>
        </row>
        <row r="105">
          <cell r="AM105" t="str">
            <v>PB</v>
          </cell>
          <cell r="AN105" t="str">
            <v>Paraíba</v>
          </cell>
          <cell r="AO105" t="str">
            <v>Nordeste</v>
          </cell>
        </row>
        <row r="106">
          <cell r="AM106" t="str">
            <v>PR</v>
          </cell>
          <cell r="AN106" t="str">
            <v>Paraná</v>
          </cell>
          <cell r="AO106" t="str">
            <v>Sul</v>
          </cell>
        </row>
        <row r="107">
          <cell r="AM107" t="str">
            <v>PE</v>
          </cell>
          <cell r="AN107" t="str">
            <v>Pernambuco</v>
          </cell>
          <cell r="AO107" t="str">
            <v>Nordeste</v>
          </cell>
        </row>
        <row r="108">
          <cell r="M108" t="str">
            <v>Centro-Oeste</v>
          </cell>
          <cell r="N108">
            <v>5909.7964030058483</v>
          </cell>
          <cell r="Q108" t="str">
            <v>Centro-Oeste</v>
          </cell>
          <cell r="R108">
            <v>2701.7126489641778</v>
          </cell>
          <cell r="AM108" t="str">
            <v>PI</v>
          </cell>
          <cell r="AN108" t="str">
            <v>Piauí</v>
          </cell>
          <cell r="AO108" t="str">
            <v>Nordeste</v>
          </cell>
        </row>
        <row r="109">
          <cell r="M109" t="str">
            <v>Nordeste</v>
          </cell>
          <cell r="N109">
            <v>5668.3085090397053</v>
          </cell>
          <cell r="Q109" t="str">
            <v>Nordeste</v>
          </cell>
          <cell r="R109">
            <v>2482.3857590386724</v>
          </cell>
          <cell r="AM109" t="str">
            <v>RJ</v>
          </cell>
          <cell r="AN109" t="str">
            <v>Rio de Janeiro</v>
          </cell>
          <cell r="AO109" t="str">
            <v>Sudeste</v>
          </cell>
        </row>
        <row r="110">
          <cell r="M110" t="str">
            <v>Norte</v>
          </cell>
          <cell r="N110">
            <v>6191.1196110344981</v>
          </cell>
          <cell r="Q110" t="str">
            <v>Norte</v>
          </cell>
          <cell r="R110">
            <v>3074.6420698452307</v>
          </cell>
          <cell r="AM110" t="str">
            <v>RN</v>
          </cell>
          <cell r="AN110" t="str">
            <v>Rio Grande do Norte</v>
          </cell>
          <cell r="AO110" t="str">
            <v>Nordeste</v>
          </cell>
        </row>
        <row r="111">
          <cell r="M111" t="str">
            <v>Sudeste</v>
          </cell>
          <cell r="N111">
            <v>5712.5896245639506</v>
          </cell>
          <cell r="Q111" t="str">
            <v>Sudeste</v>
          </cell>
          <cell r="R111">
            <v>3026.5795830424859</v>
          </cell>
          <cell r="AM111" t="str">
            <v>RS</v>
          </cell>
          <cell r="AN111" t="str">
            <v>Rio Grande do Sul</v>
          </cell>
          <cell r="AO111" t="str">
            <v>Sul</v>
          </cell>
        </row>
        <row r="112">
          <cell r="M112" t="str">
            <v>Sul</v>
          </cell>
          <cell r="N112">
            <v>5976.2653240786412</v>
          </cell>
          <cell r="Q112" t="str">
            <v>Sul</v>
          </cell>
          <cell r="R112">
            <v>2803.5833234440838</v>
          </cell>
          <cell r="AM112" t="str">
            <v>RO</v>
          </cell>
          <cell r="AN112" t="str">
            <v>Rondônia</v>
          </cell>
          <cell r="AO112" t="str">
            <v>Norte</v>
          </cell>
        </row>
        <row r="113">
          <cell r="AM113" t="str">
            <v>RR</v>
          </cell>
          <cell r="AN113" t="str">
            <v>Roraima</v>
          </cell>
          <cell r="AO113" t="str">
            <v>Norte</v>
          </cell>
        </row>
        <row r="114">
          <cell r="AM114" t="str">
            <v>SC</v>
          </cell>
          <cell r="AN114" t="str">
            <v>Santa Catarina</v>
          </cell>
          <cell r="AO114" t="str">
            <v>Sul</v>
          </cell>
        </row>
        <row r="115">
          <cell r="AM115" t="str">
            <v>SP</v>
          </cell>
          <cell r="AN115" t="str">
            <v>São Paulo</v>
          </cell>
          <cell r="AO115" t="str">
            <v>Sudeste</v>
          </cell>
        </row>
        <row r="116">
          <cell r="AM116" t="str">
            <v>SE</v>
          </cell>
          <cell r="AN116" t="str">
            <v>Sergipe</v>
          </cell>
          <cell r="AO116" t="str">
            <v>Nordeste</v>
          </cell>
        </row>
        <row r="117">
          <cell r="AM117" t="str">
            <v>TO</v>
          </cell>
          <cell r="AN117" t="str">
            <v>Tocantins</v>
          </cell>
          <cell r="AO117" t="str">
            <v>Norte</v>
          </cell>
        </row>
        <row r="148">
          <cell r="M148">
            <v>0</v>
          </cell>
          <cell r="N148">
            <v>9</v>
          </cell>
          <cell r="O148" t="str">
            <v>Ruptura</v>
          </cell>
          <cell r="P148" t="str">
            <v>Cinza Escuro</v>
          </cell>
          <cell r="R148" t="str">
            <v>Manutenção flexível 3</v>
          </cell>
          <cell r="S148" t="str">
            <v>Manutenção rígido 2</v>
          </cell>
        </row>
        <row r="149">
          <cell r="M149">
            <v>10</v>
          </cell>
          <cell r="N149">
            <v>24</v>
          </cell>
          <cell r="O149" t="str">
            <v>Péssimo</v>
          </cell>
          <cell r="P149" t="str">
            <v>Vermelho Escuro</v>
          </cell>
          <cell r="R149" t="str">
            <v>Manutenção flexível 3</v>
          </cell>
          <cell r="S149" t="str">
            <v>Manutenção rígido 2</v>
          </cell>
        </row>
        <row r="150">
          <cell r="M150">
            <v>25</v>
          </cell>
          <cell r="N150">
            <v>39</v>
          </cell>
          <cell r="O150" t="str">
            <v>Muito Ruim</v>
          </cell>
          <cell r="P150" t="str">
            <v>Vermelho</v>
          </cell>
          <cell r="Q150" t="str">
            <v>PCI Crítico de Serviço</v>
          </cell>
          <cell r="R150" t="str">
            <v>Manutenção flexível 3</v>
          </cell>
          <cell r="S150" t="str">
            <v>Manutenção rígido 2</v>
          </cell>
        </row>
        <row r="151">
          <cell r="M151">
            <v>40</v>
          </cell>
          <cell r="N151">
            <v>54</v>
          </cell>
          <cell r="O151" t="str">
            <v>Ruim</v>
          </cell>
          <cell r="P151" t="str">
            <v>Laranja</v>
          </cell>
          <cell r="R151" t="str">
            <v>Manutenção flexível 2</v>
          </cell>
          <cell r="S151" t="str">
            <v>Manutenção rígido 1</v>
          </cell>
        </row>
        <row r="152">
          <cell r="M152">
            <v>55</v>
          </cell>
          <cell r="N152">
            <v>69</v>
          </cell>
          <cell r="O152" t="str">
            <v>Regular</v>
          </cell>
          <cell r="P152" t="str">
            <v>Amarelo</v>
          </cell>
          <cell r="Q152" t="str">
            <v>PCI Crítico de Manutenção</v>
          </cell>
          <cell r="R152" t="str">
            <v>Manutenção flexível 2</v>
          </cell>
          <cell r="S152" t="str">
            <v>Manutenção rígido 1</v>
          </cell>
        </row>
        <row r="153">
          <cell r="M153">
            <v>70</v>
          </cell>
          <cell r="N153">
            <v>84</v>
          </cell>
          <cell r="O153" t="str">
            <v>Bom</v>
          </cell>
          <cell r="P153" t="str">
            <v>Verde Claro</v>
          </cell>
          <cell r="R153" t="str">
            <v>Manutenção flexível 1</v>
          </cell>
          <cell r="S153" t="str">
            <v>Manutenção rígido 1</v>
          </cell>
        </row>
        <row r="154">
          <cell r="M154">
            <v>85</v>
          </cell>
          <cell r="N154">
            <v>100</v>
          </cell>
          <cell r="O154" t="str">
            <v>Excelente</v>
          </cell>
          <cell r="P154" t="str">
            <v>Verde Escuro</v>
          </cell>
          <cell r="R154" t="str">
            <v>Manutenção flexível 1</v>
          </cell>
          <cell r="S154" t="str">
            <v>Manutenção rígido 1</v>
          </cell>
        </row>
      </sheetData>
      <sheetData sheetId="15" refreshError="1"/>
      <sheetData sheetId="16" refreshError="1"/>
      <sheetData sheetId="17" refreshError="1"/>
      <sheetData sheetId="18">
        <row r="6">
          <cell r="GW6">
            <v>0</v>
          </cell>
          <cell r="GX6">
            <v>0</v>
          </cell>
          <cell r="GY6" t="str">
            <v/>
          </cell>
          <cell r="GZ6" t="str">
            <v/>
          </cell>
        </row>
        <row r="10">
          <cell r="AS10">
            <v>0</v>
          </cell>
          <cell r="AT10">
            <v>0</v>
          </cell>
          <cell r="AW10"/>
          <cell r="AX10"/>
          <cell r="GT10" t="str">
            <v>û</v>
          </cell>
          <cell r="GZ10" t="str">
            <v>û</v>
          </cell>
          <cell r="HA10" t="str">
            <v>û</v>
          </cell>
          <cell r="HB10" t="str">
            <v>û</v>
          </cell>
          <cell r="HC10" t="str">
            <v>û</v>
          </cell>
          <cell r="HD10" t="str">
            <v>û</v>
          </cell>
          <cell r="HE10" t="str">
            <v>û</v>
          </cell>
          <cell r="HF10" t="str">
            <v>û</v>
          </cell>
          <cell r="HG10" t="str">
            <v>û</v>
          </cell>
          <cell r="HH10" t="str">
            <v>û</v>
          </cell>
          <cell r="HI10" t="str">
            <v>û</v>
          </cell>
          <cell r="HJ10" t="str">
            <v>û</v>
          </cell>
          <cell r="HK10" t="str">
            <v>û</v>
          </cell>
          <cell r="HL10" t="str">
            <v>û</v>
          </cell>
          <cell r="HM10" t="str">
            <v>û</v>
          </cell>
          <cell r="HN10" t="str">
            <v>û</v>
          </cell>
          <cell r="HO10" t="str">
            <v>û</v>
          </cell>
          <cell r="HP10" t="str">
            <v>û</v>
          </cell>
          <cell r="HQ10" t="str">
            <v>û</v>
          </cell>
          <cell r="HR10" t="str">
            <v>û</v>
          </cell>
        </row>
        <row r="12">
          <cell r="BL12"/>
        </row>
        <row r="13">
          <cell r="BE13"/>
          <cell r="BJ13"/>
          <cell r="CH13">
            <v>0</v>
          </cell>
          <cell r="EF13"/>
          <cell r="EG13"/>
          <cell r="EY13">
            <v>0</v>
          </cell>
          <cell r="EZ13">
            <v>0</v>
          </cell>
          <cell r="FF13">
            <v>0</v>
          </cell>
          <cell r="FG13">
            <v>0</v>
          </cell>
          <cell r="FM13">
            <v>0</v>
          </cell>
          <cell r="FN13"/>
          <cell r="FT13">
            <v>0</v>
          </cell>
          <cell r="FU13"/>
          <cell r="GA13">
            <v>0</v>
          </cell>
          <cell r="GB13">
            <v>0</v>
          </cell>
          <cell r="GH13">
            <v>0</v>
          </cell>
        </row>
        <row r="15">
          <cell r="AB15">
            <v>0</v>
          </cell>
          <cell r="AC15">
            <v>0</v>
          </cell>
        </row>
        <row r="16">
          <cell r="G16">
            <v>0</v>
          </cell>
          <cell r="H16">
            <v>0</v>
          </cell>
          <cell r="Q16">
            <v>0</v>
          </cell>
          <cell r="R16">
            <v>0</v>
          </cell>
          <cell r="CC16"/>
          <cell r="CF16"/>
          <cell r="CH16">
            <v>0</v>
          </cell>
          <cell r="CI16"/>
        </row>
        <row r="18">
          <cell r="AS18">
            <v>0</v>
          </cell>
          <cell r="AT18"/>
          <cell r="GH18">
            <v>0</v>
          </cell>
          <cell r="GI18">
            <v>0</v>
          </cell>
        </row>
        <row r="19">
          <cell r="CC19"/>
          <cell r="CD19"/>
          <cell r="EE19"/>
          <cell r="EF19"/>
          <cell r="EG19"/>
          <cell r="EH19"/>
          <cell r="EJ19"/>
          <cell r="EY19">
            <v>0</v>
          </cell>
          <cell r="EZ19">
            <v>0</v>
          </cell>
          <cell r="FA19">
            <v>0</v>
          </cell>
          <cell r="FF19">
            <v>0</v>
          </cell>
          <cell r="FG19">
            <v>0</v>
          </cell>
          <cell r="FH19">
            <v>0</v>
          </cell>
          <cell r="FM19">
            <v>0</v>
          </cell>
          <cell r="FN19">
            <v>0</v>
          </cell>
          <cell r="FO19">
            <v>0</v>
          </cell>
          <cell r="FT19">
            <v>0</v>
          </cell>
          <cell r="FU19">
            <v>0</v>
          </cell>
          <cell r="FV19">
            <v>0</v>
          </cell>
          <cell r="GB19">
            <v>0</v>
          </cell>
          <cell r="GC19">
            <v>0</v>
          </cell>
        </row>
        <row r="20">
          <cell r="AD20"/>
        </row>
        <row r="22">
          <cell r="EY22">
            <v>0</v>
          </cell>
          <cell r="FF22">
            <v>0</v>
          </cell>
          <cell r="FM22">
            <v>0</v>
          </cell>
          <cell r="FT22">
            <v>0</v>
          </cell>
          <cell r="GA22">
            <v>0</v>
          </cell>
          <cell r="GP22" t="str">
            <v>û</v>
          </cell>
          <cell r="GQ22" t="str">
            <v>û</v>
          </cell>
          <cell r="GS22" t="str">
            <v>Não possui</v>
          </cell>
          <cell r="GT22" t="str">
            <v>û</v>
          </cell>
          <cell r="GU22" t="str">
            <v>û</v>
          </cell>
          <cell r="GV22" t="str">
            <v>û</v>
          </cell>
          <cell r="GW22" t="str">
            <v>û</v>
          </cell>
          <cell r="GX22" t="str">
            <v>û</v>
          </cell>
          <cell r="GY22" t="str">
            <v>û</v>
          </cell>
          <cell r="GZ22" t="str">
            <v>û</v>
          </cell>
          <cell r="HA22" t="str">
            <v>û</v>
          </cell>
          <cell r="HB22" t="str">
            <v>û</v>
          </cell>
          <cell r="HC22" t="str">
            <v>û</v>
          </cell>
          <cell r="HD22" t="str">
            <v>û</v>
          </cell>
          <cell r="HE22" t="str">
            <v>û</v>
          </cell>
          <cell r="HF22" t="str">
            <v>û</v>
          </cell>
          <cell r="HG22" t="str">
            <v>û</v>
          </cell>
          <cell r="HH22" t="str">
            <v>û</v>
          </cell>
          <cell r="HI22" t="str">
            <v>û</v>
          </cell>
          <cell r="HJ22" t="str">
            <v>û</v>
          </cell>
          <cell r="HK22" t="str">
            <v>û</v>
          </cell>
          <cell r="HL22" t="str">
            <v>û</v>
          </cell>
          <cell r="HM22" t="str">
            <v>û</v>
          </cell>
          <cell r="HN22" t="str">
            <v>û</v>
          </cell>
          <cell r="HO22" t="str">
            <v>û</v>
          </cell>
          <cell r="HP22" t="str">
            <v>û</v>
          </cell>
          <cell r="HQ22" t="str">
            <v>û</v>
          </cell>
          <cell r="HR22" t="str">
            <v>û</v>
          </cell>
        </row>
        <row r="24">
          <cell r="G24">
            <v>32.289245974397637</v>
          </cell>
          <cell r="H24">
            <v>0</v>
          </cell>
          <cell r="BE24"/>
          <cell r="BF24"/>
          <cell r="BP24"/>
          <cell r="BQ24"/>
          <cell r="BW24">
            <v>0</v>
          </cell>
          <cell r="BX24">
            <v>0</v>
          </cell>
        </row>
        <row r="29">
          <cell r="AB29">
            <v>0</v>
          </cell>
          <cell r="AC29">
            <v>0</v>
          </cell>
          <cell r="AI29">
            <v>0</v>
          </cell>
          <cell r="AJ29">
            <v>0</v>
          </cell>
          <cell r="BP29"/>
          <cell r="BQ29"/>
          <cell r="BS29">
            <v>0</v>
          </cell>
          <cell r="BT29">
            <v>0</v>
          </cell>
        </row>
        <row r="30">
          <cell r="I30">
            <v>1</v>
          </cell>
          <cell r="AS30">
            <v>0</v>
          </cell>
          <cell r="AT30">
            <v>0</v>
          </cell>
          <cell r="AW30">
            <v>0</v>
          </cell>
          <cell r="AX30">
            <v>0</v>
          </cell>
        </row>
        <row r="31">
          <cell r="FT31">
            <v>0.1</v>
          </cell>
          <cell r="FU31">
            <v>0</v>
          </cell>
          <cell r="FV31">
            <v>0.2</v>
          </cell>
        </row>
        <row r="35">
          <cell r="G35">
            <v>0</v>
          </cell>
          <cell r="H35">
            <v>0</v>
          </cell>
        </row>
        <row r="37">
          <cell r="AB37"/>
          <cell r="AC37">
            <v>0</v>
          </cell>
        </row>
        <row r="38">
          <cell r="AS38">
            <v>0</v>
          </cell>
          <cell r="AT38">
            <v>0</v>
          </cell>
        </row>
        <row r="44">
          <cell r="AI44">
            <v>15</v>
          </cell>
          <cell r="AJ44">
            <v>25</v>
          </cell>
        </row>
        <row r="50">
          <cell r="G50">
            <v>30</v>
          </cell>
          <cell r="L50">
            <v>0</v>
          </cell>
        </row>
        <row r="53">
          <cell r="AH53">
            <v>405</v>
          </cell>
          <cell r="AI53">
            <v>675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</row>
        <row r="59">
          <cell r="H59">
            <v>172.5</v>
          </cell>
          <cell r="I59">
            <v>172.5</v>
          </cell>
        </row>
        <row r="68">
          <cell r="AP68">
            <v>0</v>
          </cell>
        </row>
        <row r="76">
          <cell r="AP76">
            <v>0</v>
          </cell>
        </row>
        <row r="84">
          <cell r="AP84" t="str">
            <v/>
          </cell>
        </row>
        <row r="119">
          <cell r="K119"/>
          <cell r="T119">
            <v>1377.02</v>
          </cell>
          <cell r="AE119"/>
          <cell r="AF119"/>
        </row>
        <row r="120">
          <cell r="K120"/>
          <cell r="AE120"/>
          <cell r="AF120"/>
        </row>
        <row r="121">
          <cell r="K121"/>
        </row>
        <row r="122">
          <cell r="K122"/>
        </row>
        <row r="123">
          <cell r="K123"/>
          <cell r="AE123"/>
          <cell r="AF123"/>
        </row>
        <row r="124">
          <cell r="K124"/>
          <cell r="N124"/>
          <cell r="O124"/>
          <cell r="T124">
            <v>5608825.8799999999</v>
          </cell>
          <cell r="AE124"/>
          <cell r="AF124"/>
        </row>
        <row r="125">
          <cell r="T125">
            <v>3717000</v>
          </cell>
          <cell r="AE125"/>
          <cell r="AF125"/>
        </row>
        <row r="126">
          <cell r="T126">
            <v>619500</v>
          </cell>
        </row>
        <row r="127">
          <cell r="T127">
            <v>2981394.12</v>
          </cell>
          <cell r="AE127"/>
          <cell r="AF127"/>
        </row>
        <row r="128">
          <cell r="AE128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2">
          <cell r="K132"/>
        </row>
        <row r="133">
          <cell r="K133"/>
        </row>
        <row r="134">
          <cell r="K134"/>
        </row>
        <row r="135">
          <cell r="K135"/>
        </row>
        <row r="136">
          <cell r="K136"/>
        </row>
        <row r="137">
          <cell r="K137"/>
        </row>
        <row r="156">
          <cell r="H156">
            <v>0</v>
          </cell>
          <cell r="I156">
            <v>0</v>
          </cell>
          <cell r="O156">
            <v>0</v>
          </cell>
          <cell r="P156">
            <v>0</v>
          </cell>
          <cell r="U156">
            <v>0</v>
          </cell>
        </row>
      </sheetData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>
        <row r="5">
          <cell r="B5" t="str">
            <v>AC</v>
          </cell>
        </row>
      </sheetData>
      <sheetData sheetId="33">
        <row r="121">
          <cell r="C121" t="str">
            <v>Não</v>
          </cell>
        </row>
      </sheetData>
      <sheetData sheetId="34"/>
      <sheetData sheetId="35"/>
      <sheetData sheetId="36"/>
      <sheetData sheetId="37">
        <row r="1">
          <cell r="C1" t="str">
            <v>ICAO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5">
          <cell r="Z5" t="str">
            <v>IFR Precisão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5">
          <cell r="B5" t="str">
            <v>AC</v>
          </cell>
        </row>
      </sheetData>
      <sheetData sheetId="60">
        <row r="121">
          <cell r="C121" t="str">
            <v>Não</v>
          </cell>
        </row>
      </sheetData>
      <sheetData sheetId="61"/>
      <sheetData sheetId="62"/>
      <sheetData sheetId="63"/>
      <sheetData sheetId="64">
        <row r="1">
          <cell r="C1" t="str">
            <v>ICAO</v>
          </cell>
        </row>
      </sheetData>
      <sheetData sheetId="65"/>
      <sheetData sheetId="66"/>
      <sheetData sheetId="67"/>
      <sheetData sheetId="68"/>
      <sheetData sheetId="69"/>
      <sheetData sheetId="70"/>
      <sheetData sheetId="71">
        <row r="5">
          <cell r="Z5" t="str">
            <v>IFR Precisão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struções"/>
      <sheetName val="2. Simulador"/>
      <sheetName val="BD"/>
      <sheetName val="2.1 Simulações Salvas"/>
      <sheetName val="3. Simulação em rede"/>
      <sheetName val="3.1 Result. Simul. Rede"/>
      <sheetName val="3.2 Custos para ACB"/>
      <sheetName val="Projeção — Demanda PAX"/>
      <sheetName val="Classificação - Faixas PAN"/>
      <sheetName val="4. Regulamentos"/>
      <sheetName val="aux_codigos"/>
      <sheetName val="5. Relatório"/>
      <sheetName val="6. Referências"/>
      <sheetName val="7. Lista de Siglas"/>
      <sheetName val="Aeronaves"/>
    </sheetNames>
    <sheetDataSet>
      <sheetData sheetId="0"/>
      <sheetData sheetId="1">
        <row r="218">
          <cell r="F218">
            <v>7489652.2713385476</v>
          </cell>
        </row>
        <row r="278">
          <cell r="E278">
            <v>7491457.5376368416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struções"/>
      <sheetName val="2. Simulador"/>
      <sheetName val="BD"/>
      <sheetName val="2.1 Simulações Salvas"/>
      <sheetName val="3. Simulação em rede"/>
      <sheetName val="3.1 Result. Simul. Rede"/>
      <sheetName val="3.2 Custos para ACB"/>
      <sheetName val="Projeção — Demanda PAX"/>
      <sheetName val="Classificação - Faixas PAN"/>
      <sheetName val="4. Regulamentos"/>
      <sheetName val="aux_codigos"/>
      <sheetName val="5. Relatório"/>
      <sheetName val="6. Referências"/>
      <sheetName val="7. Lista de Siglas"/>
      <sheetName val="Aeronaves"/>
      <sheetName val="1__Instruções"/>
      <sheetName val="2__Simulador"/>
      <sheetName val="2_1_Simulações_Salvas"/>
      <sheetName val="3__Simulação_em_rede"/>
      <sheetName val="3_1_Result__Simul__Rede"/>
      <sheetName val="3_2_Custos_para_ACB"/>
      <sheetName val="Projeção_—_Demanda_PAX"/>
      <sheetName val="Classificação_-_Faixas_PAN"/>
      <sheetName val="4__Regulamentos"/>
      <sheetName val="5__Relatório"/>
      <sheetName val="6__Referências"/>
      <sheetName val="7__Lista_de_Siglas"/>
      <sheetName val="1__Instruções1"/>
      <sheetName val="2__Simulador1"/>
      <sheetName val="2_1_Simulações_Salvas1"/>
      <sheetName val="3__Simulação_em_rede1"/>
      <sheetName val="3_1_Result__Simul__Rede1"/>
      <sheetName val="3_2_Custos_para_ACB1"/>
      <sheetName val="Projeção_—_Demanda_PAX1"/>
      <sheetName val="Classificação_-_Faixas_PAN1"/>
      <sheetName val="4__Regulamentos1"/>
      <sheetName val="5__Relatório1"/>
      <sheetName val="6__Referências1"/>
      <sheetName val="7__Lista_de_Siglas1"/>
    </sheetNames>
    <sheetDataSet>
      <sheetData sheetId="0"/>
      <sheetData sheetId="1">
        <row r="218">
          <cell r="F218">
            <v>3226160.2342854296</v>
          </cell>
        </row>
        <row r="278">
          <cell r="E278">
            <v>889274.43076092913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Faixa 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218">
          <cell r="F218">
            <v>3226160.2342854296</v>
          </cell>
        </row>
      </sheetData>
      <sheetData sheetId="17"/>
      <sheetData sheetId="18"/>
      <sheetData sheetId="19"/>
      <sheetData sheetId="20"/>
      <sheetData sheetId="21"/>
      <sheetData sheetId="22">
        <row r="3">
          <cell r="C3" t="str">
            <v>Faixa 0</v>
          </cell>
        </row>
      </sheetData>
      <sheetData sheetId="23"/>
      <sheetData sheetId="24"/>
      <sheetData sheetId="25"/>
      <sheetData sheetId="26"/>
      <sheetData sheetId="27"/>
      <sheetData sheetId="28">
        <row r="218">
          <cell r="F218">
            <v>3226160.2342854296</v>
          </cell>
        </row>
      </sheetData>
      <sheetData sheetId="29"/>
      <sheetData sheetId="30"/>
      <sheetData sheetId="31"/>
      <sheetData sheetId="32"/>
      <sheetData sheetId="33"/>
      <sheetData sheetId="34">
        <row r="3">
          <cell r="C3" t="str">
            <v>Faixa 0</v>
          </cell>
        </row>
      </sheetData>
      <sheetData sheetId="35"/>
      <sheetData sheetId="36"/>
      <sheetData sheetId="37"/>
      <sheetData sheetId="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struções"/>
      <sheetName val="1.1 Atualização de Dados"/>
      <sheetName val="2. Simulador - Investimento"/>
      <sheetName val="2. Simulador - Manutenção"/>
      <sheetName val="2.1 BD — Simulações Salvas"/>
      <sheetName val="2.2 Relatório Sintético - Inv"/>
      <sheetName val="3. Simulação em rede"/>
      <sheetName val="3.1 Result. Simul. Rede – Inv."/>
      <sheetName val="3.2 Mapa Coroplético"/>
      <sheetName val="Projeção — Demanda PAX"/>
      <sheetName val="4.1 Glossário"/>
      <sheetName val="4.2 Lista de siglas"/>
      <sheetName val="4.3 Referências"/>
      <sheetName val="Classificação Cenários"/>
      <sheetName val="BD"/>
      <sheetName val="Cálculos da capacidade de pista"/>
      <sheetName val="Dados para capacidade de pista"/>
      <sheetName val="Cálculos - ANAC"/>
      <sheetName val="BD_Cálculos"/>
      <sheetName val="BD — Projeção PAN"/>
      <sheetName val="Pista de Pouso"/>
      <sheetName val="Faixa de Pista"/>
      <sheetName val="RESA"/>
      <sheetName val="Pista de Táxi"/>
      <sheetName val="Pátio de Aeronaves"/>
      <sheetName val="SESCINC"/>
      <sheetName val="Estacionamento de Veículos"/>
      <sheetName val="Terminal de Passageiros"/>
      <sheetName val="Terminal de Cargas"/>
      <sheetName val="Navegação Aérea"/>
    </sheetNames>
    <sheetDataSet>
      <sheetData sheetId="0"/>
      <sheetData sheetId="1"/>
      <sheetData sheetId="2">
        <row r="46">
          <cell r="C46"/>
          <cell r="D46" t="str">
            <v>-</v>
          </cell>
          <cell r="L46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DH5" t="str">
            <v>C208 Grand Caravan</v>
          </cell>
          <cell r="DI5">
            <v>33.1</v>
          </cell>
          <cell r="DJ5">
            <v>43.5</v>
          </cell>
          <cell r="DK5">
            <v>56.19</v>
          </cell>
          <cell r="DL5" t="str">
            <v>-</v>
          </cell>
        </row>
        <row r="6">
          <cell r="DH6" t="str">
            <v>CRJ200</v>
          </cell>
          <cell r="DI6">
            <v>49.2</v>
          </cell>
          <cell r="DJ6">
            <v>59.1</v>
          </cell>
          <cell r="DK6">
            <v>87.5</v>
          </cell>
          <cell r="DL6" t="str">
            <v>-</v>
          </cell>
        </row>
        <row r="7">
          <cell r="DH7" t="str">
            <v>SkyCourier</v>
          </cell>
          <cell r="DI7">
            <v>55.2</v>
          </cell>
          <cell r="DJ7">
            <v>70.099999999999994</v>
          </cell>
          <cell r="DK7">
            <v>97.9</v>
          </cell>
          <cell r="DL7">
            <v>85.35</v>
          </cell>
        </row>
        <row r="8">
          <cell r="DH8" t="str">
            <v>ATR 42</v>
          </cell>
          <cell r="DI8">
            <v>55.2</v>
          </cell>
          <cell r="DJ8">
            <v>70.099999999999994</v>
          </cell>
          <cell r="DK8">
            <v>97.9</v>
          </cell>
          <cell r="DL8">
            <v>85.35</v>
          </cell>
        </row>
        <row r="9">
          <cell r="DH9" t="str">
            <v>ATR 72</v>
          </cell>
          <cell r="DI9">
            <v>56.7</v>
          </cell>
          <cell r="DJ9">
            <v>72.400000000000006</v>
          </cell>
          <cell r="DK9">
            <v>101.2</v>
          </cell>
          <cell r="DL9">
            <v>85.53</v>
          </cell>
        </row>
      </sheetData>
      <sheetData sheetId="15"/>
      <sheetData sheetId="16"/>
      <sheetData sheetId="17"/>
      <sheetData sheetId="18">
        <row r="10">
          <cell r="CG10" t="e">
            <v>#N/A</v>
          </cell>
        </row>
        <row r="13">
          <cell r="FU13">
            <v>0</v>
          </cell>
          <cell r="FV13" t="e">
            <v>#N/A</v>
          </cell>
        </row>
        <row r="18">
          <cell r="AW18" t="e">
            <v>#VALUE!</v>
          </cell>
          <cell r="AX18">
            <v>0</v>
          </cell>
        </row>
        <row r="22">
          <cell r="EO22">
            <v>0</v>
          </cell>
          <cell r="EP22">
            <v>0</v>
          </cell>
          <cell r="EQ22">
            <v>0</v>
          </cell>
        </row>
        <row r="23">
          <cell r="EF23" t="e">
            <v>#N/A</v>
          </cell>
        </row>
        <row r="29">
          <cell r="BW29" t="e">
            <v>#N/A</v>
          </cell>
          <cell r="BX29">
            <v>0</v>
          </cell>
        </row>
        <row r="30">
          <cell r="EM30">
            <v>0</v>
          </cell>
          <cell r="EN30">
            <v>0</v>
          </cell>
          <cell r="EO30">
            <v>0</v>
          </cell>
          <cell r="EP30">
            <v>0</v>
          </cell>
        </row>
        <row r="35">
          <cell r="EN35">
            <v>0</v>
          </cell>
        </row>
        <row r="38">
          <cell r="FU38">
            <v>0</v>
          </cell>
          <cell r="FV38" t="e">
            <v>#N/A</v>
          </cell>
        </row>
        <row r="130">
          <cell r="AE130" t="e">
            <v>#N/A</v>
          </cell>
        </row>
        <row r="132">
          <cell r="AE132" t="e">
            <v>#VALUE!</v>
          </cell>
          <cell r="AF132" t="e">
            <v>#VALUE!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dor"/>
      <sheetName val="Método Atual"/>
      <sheetName val="Análise ATM"/>
      <sheetName val="Regulamentos"/>
      <sheetName val="BD"/>
      <sheetName val="Lista de siglas"/>
      <sheetName val="Referências"/>
      <sheetName val="Método_Atual"/>
      <sheetName val="Análise_ATM"/>
      <sheetName val="Lista_de_siglas"/>
      <sheetName val="Método_Atual1"/>
      <sheetName val="Análise_ATM1"/>
      <sheetName val="Lista_de_siglas1"/>
    </sheetNames>
    <sheetDataSet>
      <sheetData sheetId="0">
        <row r="210">
          <cell r="G210">
            <v>12544875.421607846</v>
          </cell>
        </row>
      </sheetData>
      <sheetData sheetId="1">
        <row r="3">
          <cell r="B3">
            <v>1</v>
          </cell>
          <cell r="C3">
            <v>0.81699999999999995</v>
          </cell>
          <cell r="J3">
            <v>316635</v>
          </cell>
        </row>
        <row r="5">
          <cell r="J5">
            <v>183365</v>
          </cell>
        </row>
      </sheetData>
      <sheetData sheetId="2"/>
      <sheetData sheetId="3"/>
      <sheetData sheetId="4"/>
      <sheetData sheetId="5"/>
      <sheetData sheetId="6"/>
      <sheetData sheetId="7">
        <row r="3">
          <cell r="B3">
            <v>1</v>
          </cell>
        </row>
      </sheetData>
      <sheetData sheetId="8"/>
      <sheetData sheetId="9"/>
      <sheetData sheetId="10">
        <row r="3">
          <cell r="B3">
            <v>1</v>
          </cell>
        </row>
      </sheetData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ção"/>
      <sheetName val="Pista de Pouso e Decolagem"/>
      <sheetName val="Dados_Entrada"/>
      <sheetName val="Modelo_Pista_Simples"/>
      <sheetName val="Cálculos_Pista_Simples"/>
      <sheetName val="Gráfico"/>
      <sheetName val="Observações"/>
      <sheetName val="Mix de Aeronaves"/>
      <sheetName val="Valores Padrões"/>
      <sheetName val="Auxílio-Mix"/>
      <sheetName val="Resultados Finais"/>
      <sheetName val="Pista_de_Pouso_e_Decolagem"/>
      <sheetName val="Mix_de_Aeronaves"/>
      <sheetName val="Valores_Padrões"/>
      <sheetName val="Resultados_Finais"/>
      <sheetName val="Pista_de_Pouso_e_Decolagem1"/>
      <sheetName val="Mix_de_Aeronaves1"/>
      <sheetName val="Valores_Padrões1"/>
      <sheetName val="Resultados_Finai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H2" t="str">
            <v>Figura7</v>
          </cell>
        </row>
        <row r="3">
          <cell r="H3" t="str">
            <v>Figura8</v>
          </cell>
        </row>
        <row r="4">
          <cell r="H4" t="str">
            <v>Figura9</v>
          </cell>
        </row>
      </sheetData>
      <sheetData sheetId="11"/>
      <sheetData sheetId="12"/>
      <sheetData sheetId="13"/>
      <sheetData sheetId="14">
        <row r="2">
          <cell r="H2" t="str">
            <v>Figura7</v>
          </cell>
        </row>
      </sheetData>
      <sheetData sheetId="15"/>
      <sheetData sheetId="16"/>
      <sheetData sheetId="17"/>
      <sheetData sheetId="18">
        <row r="2">
          <cell r="H2" t="str">
            <v>Figura7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struções"/>
      <sheetName val="1.1 Atualização de Dados"/>
      <sheetName val="2. Simulador - Investimento"/>
      <sheetName val="2. Simulador - Manutenção"/>
      <sheetName val="2.1 BD — Simulações Salvas"/>
      <sheetName val="2.2 Relatório Sintético - Inv"/>
      <sheetName val="3. Simulação em rede"/>
      <sheetName val="3.1 Result. Simul. Rede – Inv."/>
      <sheetName val="3.2 Mapa Coroplético"/>
      <sheetName val="Projeção — Demanda PAX"/>
      <sheetName val="4.1 Glossário"/>
      <sheetName val="4.2 Lista de siglas"/>
      <sheetName val="4.3 Referências"/>
      <sheetName val="Classificação Cenários"/>
      <sheetName val="BD"/>
      <sheetName val="Cálculos da capacidade de pista"/>
      <sheetName val="Dados para capacidade de pista"/>
      <sheetName val="Cálculos - ANAC"/>
      <sheetName val="BD_Cálculos"/>
      <sheetName val="BD — Projeção PAN"/>
      <sheetName val="Pista de Pouso"/>
      <sheetName val="Faixa de Pista"/>
      <sheetName val="RESA"/>
      <sheetName val="Pista de Táxi"/>
      <sheetName val="Pátio de Aeronaves"/>
      <sheetName val="SESCINC"/>
      <sheetName val="Estacionamento de Veículos"/>
      <sheetName val="Terminal de Passageiros"/>
      <sheetName val="Terminal de Cargas"/>
      <sheetName val="Navegação Aérea"/>
      <sheetName val="1__Instruções"/>
      <sheetName val="1_1_Atualização_de_Dados"/>
      <sheetName val="2__Simulador_-_Investimento"/>
      <sheetName val="2__Simulador_-_Manutenção"/>
      <sheetName val="2_1_BD_—_Simulações_Salvas"/>
      <sheetName val="2_2_Relatório_Sintético_-_Inv"/>
      <sheetName val="3__Simulação_em_rede"/>
      <sheetName val="3_1_Result__Simul__Rede_–_Inv_"/>
      <sheetName val="3_2_Mapa_Coroplético"/>
      <sheetName val="Projeção_—_Demanda_PAX"/>
      <sheetName val="4_1_Glossário"/>
      <sheetName val="4_2_Lista_de_siglas"/>
      <sheetName val="4_3_Referências"/>
      <sheetName val="Classificação_Cenários"/>
      <sheetName val="Cálculos_da_capacidade_de_pista"/>
      <sheetName val="Dados_para_capacidade_de_pista"/>
      <sheetName val="Cálculos_-_ANAC"/>
      <sheetName val="BD_—_Projeção_PAN"/>
      <sheetName val="Pista_de_Pouso"/>
      <sheetName val="Faixa_de_Pista"/>
      <sheetName val="Pista_de_Táxi"/>
      <sheetName val="Pátio_de_Aeronaves"/>
      <sheetName val="Estacionamento_de_Veículos"/>
      <sheetName val="Terminal_de_Passageiros"/>
      <sheetName val="Terminal_de_Cargas"/>
      <sheetName val="Navegação_Aérea"/>
      <sheetName val="1__Instruções1"/>
      <sheetName val="1_1_Atualização_de_Dados1"/>
      <sheetName val="2__Simulador_-_Investimento1"/>
      <sheetName val="2__Simulador_-_Manutenção1"/>
      <sheetName val="2_1_BD_—_Simulações_Salvas1"/>
      <sheetName val="2_2_Relatório_Sintético_-_Inv1"/>
      <sheetName val="3__Simulação_em_rede1"/>
      <sheetName val="3_1_Result__Simul__Rede_–_Inv_1"/>
      <sheetName val="3_2_Mapa_Coroplético1"/>
      <sheetName val="Projeção_—_Demanda_PAX1"/>
      <sheetName val="4_1_Glossário1"/>
      <sheetName val="4_2_Lista_de_siglas1"/>
      <sheetName val="4_3_Referências1"/>
      <sheetName val="Classificação_Cenários1"/>
      <sheetName val="Cálculos_da_capacidade_de_pist1"/>
      <sheetName val="Dados_para_capacidade_de_pista1"/>
      <sheetName val="Cálculos_-_ANAC1"/>
      <sheetName val="BD_—_Projeção_PAN1"/>
      <sheetName val="Pista_de_Pouso1"/>
      <sheetName val="Faixa_de_Pista1"/>
      <sheetName val="Pista_de_Táxi1"/>
      <sheetName val="Pátio_de_Aeronaves1"/>
      <sheetName val="Estacionamento_de_Veículos1"/>
      <sheetName val="Terminal_de_Passageiros1"/>
      <sheetName val="Terminal_de_Cargas1"/>
      <sheetName val="Navegação_Aérea1"/>
    </sheetNames>
    <sheetDataSet>
      <sheetData sheetId="0"/>
      <sheetData sheetId="1">
        <row r="5">
          <cell r="B5" t="str">
            <v>AC</v>
          </cell>
        </row>
      </sheetData>
      <sheetData sheetId="2">
        <row r="46">
          <cell r="D46" t="str">
            <v>-</v>
          </cell>
        </row>
      </sheetData>
      <sheetData sheetId="3">
        <row r="14">
          <cell r="C14"/>
        </row>
      </sheetData>
      <sheetData sheetId="4"/>
      <sheetData sheetId="5"/>
      <sheetData sheetId="6">
        <row r="1">
          <cell r="N1" t="str">
            <v>Dados de entrada atuais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5">
          <cell r="Z5" t="str">
            <v>IFR Precisão</v>
          </cell>
        </row>
      </sheetData>
      <sheetData sheetId="14">
        <row r="5">
          <cell r="AD5" t="str">
            <v>A319</v>
          </cell>
        </row>
      </sheetData>
      <sheetData sheetId="15"/>
      <sheetData sheetId="16"/>
      <sheetData sheetId="17"/>
      <sheetData sheetId="18">
        <row r="6">
          <cell r="GX6">
            <v>0</v>
          </cell>
        </row>
        <row r="179">
          <cell r="G179">
            <v>0</v>
          </cell>
          <cell r="H179">
            <v>0</v>
          </cell>
          <cell r="I179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5">
          <cell r="B5" t="str">
            <v>AC</v>
          </cell>
        </row>
      </sheetData>
      <sheetData sheetId="32">
        <row r="46">
          <cell r="D46" t="str">
            <v>-</v>
          </cell>
        </row>
      </sheetData>
      <sheetData sheetId="33"/>
      <sheetData sheetId="34"/>
      <sheetData sheetId="35"/>
      <sheetData sheetId="36">
        <row r="1">
          <cell r="N1" t="str">
            <v>Dados de entrada atuais</v>
          </cell>
        </row>
      </sheetData>
      <sheetData sheetId="37"/>
      <sheetData sheetId="38"/>
      <sheetData sheetId="39"/>
      <sheetData sheetId="40"/>
      <sheetData sheetId="41"/>
      <sheetData sheetId="42"/>
      <sheetData sheetId="43">
        <row r="5">
          <cell r="Z5" t="str">
            <v>IFR Precisão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5">
          <cell r="B5" t="str">
            <v>AC</v>
          </cell>
        </row>
      </sheetData>
      <sheetData sheetId="58">
        <row r="46">
          <cell r="D46" t="str">
            <v>-</v>
          </cell>
        </row>
      </sheetData>
      <sheetData sheetId="59"/>
      <sheetData sheetId="60"/>
      <sheetData sheetId="61"/>
      <sheetData sheetId="62">
        <row r="1">
          <cell r="N1" t="str">
            <v>Dados de entrada atuais</v>
          </cell>
        </row>
      </sheetData>
      <sheetData sheetId="63"/>
      <sheetData sheetId="64"/>
      <sheetData sheetId="65"/>
      <sheetData sheetId="66"/>
      <sheetData sheetId="67"/>
      <sheetData sheetId="68"/>
      <sheetData sheetId="69">
        <row r="5">
          <cell r="Z5" t="str">
            <v>IFR Precisão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ção"/>
      <sheetName val="BLOCOS - AMPLIAR (RESUMO)"/>
      <sheetName val="BLOCOS - AMPLIAR"/>
      <sheetName val="BLOCO ACRE + AMAZONAS"/>
      <sheetName val="BLOCO AMAZONAS - 2"/>
      <sheetName val="BLOCO AMAZONAS - 3"/>
      <sheetName val="BLOCO MARANHÃO + TOCANTINS"/>
      <sheetName val="BLOCO MATO GROSSO - 1"/>
      <sheetName val="BLOCO MATO GROSSO - 2"/>
      <sheetName val="BLOCO PARÁ - 1"/>
      <sheetName val="BLOCO PARÁ - 2"/>
      <sheetName val="BLOCO PARÁ - 3"/>
      <sheetName val="BLOCO RONDÔNIA"/>
      <sheetName val="BLOCO NORDESTE"/>
      <sheetName val="FLUXO DE CAIXA DESC.-BLOCOS PAN"/>
      <sheetName val="FLUXO DE CAIXA DESC.-SEM MULT."/>
      <sheetName val="FLUXO DE CAIXA NOM.- BLOCOS PAN"/>
      <sheetName val="CAPEX - BLOCOS PAN"/>
      <sheetName val="CAPEX - BLOCOS PAN S- MULT."/>
      <sheetName val="CAPEX - BLOCOS PAN (ANO A ANO)"/>
      <sheetName val="CAPEX - BLOCOS PAN_ANO S- MULT"/>
      <sheetName val="OPEX - BLOCOS PAN"/>
      <sheetName val="RECEITAS - BLOCOS PAN"/>
      <sheetName val="BASE PAN - CAPEX"/>
      <sheetName val="BASE PAN - OPEX"/>
      <sheetName val="BASE PAN - RECEITAS"/>
      <sheetName val="BASE PAN - CAPEX - 1º ANO"/>
      <sheetName val="CAPEX Manut. Estr_PPD e Taxiway"/>
      <sheetName val="CAPEX Manut. Estratégicos_Pátio"/>
      <sheetName val="CAPEX Manut. Estr_Naveg. Aérea"/>
      <sheetName val="CAPEX Manut. Estr_Cerca Operac."/>
      <sheetName val="Receitas - Aerop. Estratégicos"/>
      <sheetName val="Projeção - Demanda P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A3" t="str">
            <v>SBIH</v>
          </cell>
          <cell r="B3" t="str">
            <v>ITAITUBA</v>
          </cell>
          <cell r="C3" t="str">
            <v>SBIH150360</v>
          </cell>
          <cell r="D3" t="str">
            <v>ITAITUBA</v>
          </cell>
          <cell r="E3" t="str">
            <v>PA</v>
          </cell>
          <cell r="F3" t="str">
            <v>ü</v>
          </cell>
          <cell r="G3" t="str">
            <v>Adequação</v>
          </cell>
          <cell r="H3">
            <v>45106666.666666664</v>
          </cell>
          <cell r="I3">
            <v>45106666.666666664</v>
          </cell>
          <cell r="J3">
            <v>45106666.666666664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135320000</v>
          </cell>
        </row>
        <row r="4">
          <cell r="A4" t="str">
            <v>SBLE</v>
          </cell>
          <cell r="B4" t="str">
            <v>HORÁCIO DE MATTOS</v>
          </cell>
          <cell r="C4" t="str">
            <v>SBLE291930</v>
          </cell>
          <cell r="D4" t="str">
            <v>LENÇÓIS</v>
          </cell>
          <cell r="E4" t="str">
            <v>BA</v>
          </cell>
          <cell r="F4" t="str">
            <v>ü</v>
          </cell>
          <cell r="G4" t="str">
            <v>Adequação</v>
          </cell>
          <cell r="H4">
            <v>28092500</v>
          </cell>
          <cell r="I4">
            <v>28092500</v>
          </cell>
          <cell r="J4">
            <v>28092500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84277500</v>
          </cell>
        </row>
        <row r="5">
          <cell r="A5" t="str">
            <v>SWBC</v>
          </cell>
          <cell r="B5" t="str">
            <v>BARCELOS</v>
          </cell>
          <cell r="C5" t="str">
            <v>SWBC130040</v>
          </cell>
          <cell r="D5" t="str">
            <v>BARCELOS</v>
          </cell>
          <cell r="E5" t="str">
            <v>AM</v>
          </cell>
          <cell r="F5" t="str">
            <v>ü</v>
          </cell>
          <cell r="G5" t="str">
            <v>Adequação</v>
          </cell>
          <cell r="H5">
            <v>21471000</v>
          </cell>
          <cell r="I5">
            <v>21471000</v>
          </cell>
          <cell r="J5">
            <v>21471000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64413000</v>
          </cell>
        </row>
        <row r="6">
          <cell r="A6" t="str">
            <v>SBGM</v>
          </cell>
          <cell r="B6" t="str">
            <v>GUAJARÁ-MIRIM</v>
          </cell>
          <cell r="C6" t="str">
            <v>SBGM110010</v>
          </cell>
          <cell r="D6" t="str">
            <v>GUAJARÁ-MIRIM</v>
          </cell>
          <cell r="E6" t="str">
            <v>RO</v>
          </cell>
          <cell r="F6" t="str">
            <v>ü</v>
          </cell>
          <cell r="G6" t="str">
            <v>Adequação</v>
          </cell>
          <cell r="H6">
            <v>23681000</v>
          </cell>
          <cell r="I6">
            <v>23681000</v>
          </cell>
          <cell r="J6">
            <v>23681000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71043000</v>
          </cell>
        </row>
        <row r="7">
          <cell r="A7" t="str">
            <v>SBIC</v>
          </cell>
          <cell r="B7" t="str">
            <v>ITACOATIARA</v>
          </cell>
          <cell r="C7" t="str">
            <v>SBIC130190</v>
          </cell>
          <cell r="D7" t="str">
            <v>ITACOATIARA</v>
          </cell>
          <cell r="E7" t="str">
            <v>AM</v>
          </cell>
          <cell r="F7" t="str">
            <v>ü</v>
          </cell>
          <cell r="G7" t="str">
            <v>Adequação</v>
          </cell>
          <cell r="H7">
            <v>42925000</v>
          </cell>
          <cell r="I7">
            <v>42925000</v>
          </cell>
          <cell r="J7">
            <v>42925000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128775000</v>
          </cell>
        </row>
        <row r="8">
          <cell r="A8" t="str">
            <v>SBMD</v>
          </cell>
          <cell r="B8" t="str">
            <v>MONTE DOURADO</v>
          </cell>
          <cell r="C8" t="str">
            <v>SBMD150050</v>
          </cell>
          <cell r="D8" t="str">
            <v>ALMEIRIM</v>
          </cell>
          <cell r="E8" t="str">
            <v>PA</v>
          </cell>
          <cell r="F8" t="str">
            <v>ü</v>
          </cell>
          <cell r="G8" t="str">
            <v>Adequação</v>
          </cell>
          <cell r="H8">
            <v>46812333.333333336</v>
          </cell>
          <cell r="I8">
            <v>46812333.333333336</v>
          </cell>
          <cell r="J8">
            <v>46812333.333333336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140437000</v>
          </cell>
        </row>
        <row r="9">
          <cell r="A9" t="str">
            <v>SBMY</v>
          </cell>
          <cell r="B9" t="str">
            <v>MANICORÉ</v>
          </cell>
          <cell r="C9" t="str">
            <v>SBMY130270</v>
          </cell>
          <cell r="D9" t="str">
            <v>MANICORÉ</v>
          </cell>
          <cell r="E9" t="str">
            <v>AM</v>
          </cell>
          <cell r="F9" t="str">
            <v>ü</v>
          </cell>
          <cell r="G9" t="str">
            <v>Adequação</v>
          </cell>
          <cell r="H9">
            <v>11628000</v>
          </cell>
          <cell r="I9">
            <v>11628000</v>
          </cell>
          <cell r="J9">
            <v>11628000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34884000</v>
          </cell>
        </row>
        <row r="10">
          <cell r="A10" t="str">
            <v>SBTB</v>
          </cell>
          <cell r="B10" t="str">
            <v>TROMBETAS</v>
          </cell>
          <cell r="C10" t="str">
            <v>SBTB150530</v>
          </cell>
          <cell r="D10" t="str">
            <v>ORIXIMINÁ</v>
          </cell>
          <cell r="E10" t="str">
            <v>PA</v>
          </cell>
          <cell r="F10" t="str">
            <v>ü</v>
          </cell>
          <cell r="G10" t="str">
            <v>Adequação</v>
          </cell>
          <cell r="H10">
            <v>42460333.333333336</v>
          </cell>
          <cell r="I10">
            <v>42460333.333333336</v>
          </cell>
          <cell r="J10">
            <v>42460333.333333336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127381000</v>
          </cell>
        </row>
        <row r="11">
          <cell r="A11" t="str">
            <v>SBTK</v>
          </cell>
          <cell r="B11" t="str">
            <v>TARAUACÁ</v>
          </cell>
          <cell r="C11" t="str">
            <v>SBTK120060</v>
          </cell>
          <cell r="D11" t="str">
            <v>TARAUACÁ</v>
          </cell>
          <cell r="E11" t="str">
            <v>AC</v>
          </cell>
          <cell r="F11" t="str">
            <v>ü</v>
          </cell>
          <cell r="G11" t="str">
            <v>Adequação</v>
          </cell>
          <cell r="H11">
            <v>21405833.333333332</v>
          </cell>
          <cell r="I11">
            <v>21405833.333333332</v>
          </cell>
          <cell r="J11">
            <v>21405833.333333332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64217500</v>
          </cell>
        </row>
        <row r="12">
          <cell r="A12" t="str">
            <v>SBTU</v>
          </cell>
          <cell r="B12" t="str">
            <v>TUCURUÍ</v>
          </cell>
          <cell r="C12" t="str">
            <v>SBTU150810</v>
          </cell>
          <cell r="D12" t="str">
            <v>TUCURUÍ</v>
          </cell>
          <cell r="E12" t="str">
            <v>PA</v>
          </cell>
          <cell r="F12" t="str">
            <v>ü</v>
          </cell>
          <cell r="G12" t="str">
            <v>Adequação</v>
          </cell>
          <cell r="H12">
            <v>54805166.666666664</v>
          </cell>
          <cell r="I12">
            <v>54805166.666666664</v>
          </cell>
          <cell r="J12">
            <v>54805166.666666664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164415500</v>
          </cell>
        </row>
        <row r="13">
          <cell r="A13" t="str">
            <v>SBUA</v>
          </cell>
          <cell r="B13" t="str">
            <v>SÃO GABRIEL DA CACHOEIRA</v>
          </cell>
          <cell r="C13" t="str">
            <v>SBUA130380</v>
          </cell>
          <cell r="D13" t="str">
            <v>SÃO GABRIEL DA CACHOEIRA</v>
          </cell>
          <cell r="E13" t="str">
            <v>AM</v>
          </cell>
          <cell r="F13" t="str">
            <v>ü</v>
          </cell>
          <cell r="G13" t="str">
            <v>Adequação</v>
          </cell>
          <cell r="H13">
            <v>47523500</v>
          </cell>
          <cell r="I13">
            <v>47523500</v>
          </cell>
          <cell r="J13">
            <v>47523500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142570500</v>
          </cell>
        </row>
        <row r="14">
          <cell r="A14" t="str">
            <v>SBUF</v>
          </cell>
          <cell r="B14" t="str">
            <v>PAULO AFONSO</v>
          </cell>
          <cell r="C14" t="str">
            <v>SBUF292400</v>
          </cell>
          <cell r="D14" t="str">
            <v>PAULO AFONSO</v>
          </cell>
          <cell r="E14" t="str">
            <v>BA</v>
          </cell>
          <cell r="F14" t="str">
            <v>ü</v>
          </cell>
          <cell r="G14" t="str">
            <v>Adequação</v>
          </cell>
          <cell r="H14">
            <v>22530000</v>
          </cell>
          <cell r="I14">
            <v>22530000</v>
          </cell>
          <cell r="J14">
            <v>22530000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67590000</v>
          </cell>
        </row>
        <row r="15">
          <cell r="A15" t="str">
            <v>SBVH</v>
          </cell>
          <cell r="B15" t="str">
            <v>VILHENA</v>
          </cell>
          <cell r="C15" t="str">
            <v>SBVH110030</v>
          </cell>
          <cell r="D15" t="str">
            <v>VILHENA</v>
          </cell>
          <cell r="E15" t="str">
            <v>RO</v>
          </cell>
          <cell r="F15" t="str">
            <v>ü</v>
          </cell>
          <cell r="G15" t="str">
            <v>Adequação</v>
          </cell>
          <cell r="H15">
            <v>54402833.333333336</v>
          </cell>
          <cell r="I15">
            <v>54402833.333333336</v>
          </cell>
          <cell r="J15">
            <v>54402833.333333336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163208500</v>
          </cell>
        </row>
        <row r="16">
          <cell r="A16" t="str">
            <v>SNDC</v>
          </cell>
          <cell r="B16" t="str">
            <v>REDENÇÃO</v>
          </cell>
          <cell r="C16" t="str">
            <v>SNLC150613</v>
          </cell>
          <cell r="D16" t="str">
            <v>REDENÇÃO</v>
          </cell>
          <cell r="E16" t="str">
            <v>PA</v>
          </cell>
          <cell r="F16" t="str">
            <v>ü</v>
          </cell>
          <cell r="G16" t="str">
            <v>Adequação</v>
          </cell>
          <cell r="H16">
            <v>14739000</v>
          </cell>
          <cell r="I16">
            <v>14739000</v>
          </cell>
          <cell r="J16">
            <v>14739000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44217000</v>
          </cell>
        </row>
        <row r="17">
          <cell r="A17" t="str">
            <v>SNEB</v>
          </cell>
          <cell r="B17" t="str">
            <v>NAGIB DEMACHKI</v>
          </cell>
          <cell r="C17" t="str">
            <v>SNEB150550</v>
          </cell>
          <cell r="D17" t="str">
            <v>PARAGOMINAS</v>
          </cell>
          <cell r="E17" t="str">
            <v>PA</v>
          </cell>
          <cell r="F17" t="str">
            <v>ü</v>
          </cell>
          <cell r="G17" t="str">
            <v>Adequação</v>
          </cell>
          <cell r="H17">
            <v>59995833.333333328</v>
          </cell>
          <cell r="I17">
            <v>59995833.333333328</v>
          </cell>
          <cell r="J17">
            <v>59995833.333333328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179987500</v>
          </cell>
        </row>
        <row r="18">
          <cell r="A18" t="str">
            <v>SNFX</v>
          </cell>
          <cell r="B18" t="str">
            <v>SÃO FÉLIX DO XINGU</v>
          </cell>
          <cell r="C18" t="str">
            <v>SNFX150730</v>
          </cell>
          <cell r="D18" t="str">
            <v>SÃO FÉLIX DO XINGU</v>
          </cell>
          <cell r="E18" t="str">
            <v>PA</v>
          </cell>
          <cell r="F18" t="str">
            <v>ü</v>
          </cell>
          <cell r="G18" t="str">
            <v>Adequação</v>
          </cell>
          <cell r="H18">
            <v>15648500</v>
          </cell>
          <cell r="I18">
            <v>15648500</v>
          </cell>
          <cell r="J18">
            <v>15648500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46945500</v>
          </cell>
        </row>
        <row r="19">
          <cell r="A19" t="str">
            <v>SNGI</v>
          </cell>
          <cell r="B19" t="str">
            <v>AERÓDROMO DE GUANAMBI</v>
          </cell>
          <cell r="C19" t="str">
            <v>SNGI291170</v>
          </cell>
          <cell r="D19" t="str">
            <v>GUANAMBI</v>
          </cell>
          <cell r="E19" t="str">
            <v>BA</v>
          </cell>
          <cell r="F19" t="str">
            <v>ü</v>
          </cell>
          <cell r="G19" t="str">
            <v>Adequação</v>
          </cell>
          <cell r="H19">
            <v>34962500</v>
          </cell>
          <cell r="I19">
            <v>34962500</v>
          </cell>
          <cell r="J19">
            <v>34962500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104887500</v>
          </cell>
        </row>
        <row r="20">
          <cell r="A20" t="str">
            <v>SNHS</v>
          </cell>
          <cell r="B20" t="str">
            <v>SANTA MAGALHÃES</v>
          </cell>
          <cell r="C20" t="str">
            <v>SNHS261390</v>
          </cell>
          <cell r="D20" t="str">
            <v>SERRA TALHADA</v>
          </cell>
          <cell r="E20" t="str">
            <v>PE</v>
          </cell>
          <cell r="F20" t="str">
            <v>ü</v>
          </cell>
          <cell r="G20" t="str">
            <v>Adequação</v>
          </cell>
          <cell r="H20">
            <v>13805000</v>
          </cell>
          <cell r="I20">
            <v>13805000</v>
          </cell>
          <cell r="J20">
            <v>13805000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41415000</v>
          </cell>
        </row>
        <row r="21">
          <cell r="A21" t="str">
            <v>SNVS</v>
          </cell>
          <cell r="B21" t="str">
            <v>BREVES</v>
          </cell>
          <cell r="C21" t="str">
            <v>SNVS150180</v>
          </cell>
          <cell r="D21" t="str">
            <v>BREVES</v>
          </cell>
          <cell r="E21" t="str">
            <v>PA</v>
          </cell>
          <cell r="F21" t="str">
            <v>ü</v>
          </cell>
          <cell r="G21" t="str">
            <v>Adequação</v>
          </cell>
          <cell r="H21">
            <v>17269166.666666668</v>
          </cell>
          <cell r="I21">
            <v>17269166.666666668</v>
          </cell>
          <cell r="J21">
            <v>17269166.666666668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51807500</v>
          </cell>
        </row>
        <row r="22">
          <cell r="A22" t="str">
            <v>SSKW</v>
          </cell>
          <cell r="B22" t="str">
            <v>CACOAL</v>
          </cell>
          <cell r="C22" t="str">
            <v>SSKW110004</v>
          </cell>
          <cell r="D22" t="str">
            <v>CACOAL</v>
          </cell>
          <cell r="E22" t="str">
            <v>RO</v>
          </cell>
          <cell r="F22" t="str">
            <v>ü</v>
          </cell>
          <cell r="G22" t="str">
            <v>Adequação</v>
          </cell>
          <cell r="H22">
            <v>39879166.666666664</v>
          </cell>
          <cell r="I22">
            <v>39879166.666666664</v>
          </cell>
          <cell r="J22">
            <v>39879166.666666664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119637500</v>
          </cell>
        </row>
        <row r="23">
          <cell r="A23" t="str">
            <v>SSOU</v>
          </cell>
          <cell r="B23" t="str">
            <v>ARIPUANÃ</v>
          </cell>
          <cell r="C23" t="str">
            <v>N513510140</v>
          </cell>
          <cell r="D23" t="str">
            <v>ARIPUANÃ</v>
          </cell>
          <cell r="E23" t="str">
            <v>MT</v>
          </cell>
          <cell r="F23" t="str">
            <v>ü</v>
          </cell>
          <cell r="G23" t="str">
            <v>Adequação</v>
          </cell>
          <cell r="H23">
            <v>20622500</v>
          </cell>
          <cell r="I23">
            <v>20622500</v>
          </cell>
          <cell r="J23">
            <v>20622500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61867500</v>
          </cell>
        </row>
        <row r="24">
          <cell r="A24" t="str">
            <v>SWBR</v>
          </cell>
          <cell r="B24" t="str">
            <v>BORBA</v>
          </cell>
          <cell r="C24" t="str">
            <v>SWBR130080</v>
          </cell>
          <cell r="D24" t="str">
            <v>BORBA</v>
          </cell>
          <cell r="E24" t="str">
            <v>AM</v>
          </cell>
          <cell r="F24" t="str">
            <v>ü</v>
          </cell>
          <cell r="G24" t="str">
            <v>Adequação</v>
          </cell>
          <cell r="H24">
            <v>18025666.666666668</v>
          </cell>
          <cell r="I24">
            <v>18025666.666666668</v>
          </cell>
          <cell r="J24">
            <v>18025666.666666668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54077000</v>
          </cell>
        </row>
        <row r="25">
          <cell r="A25" t="str">
            <v>SWCA</v>
          </cell>
          <cell r="B25" t="str">
            <v>CARAUARI</v>
          </cell>
          <cell r="C25" t="str">
            <v>SWCA130100</v>
          </cell>
          <cell r="D25" t="str">
            <v>CARAUARI</v>
          </cell>
          <cell r="E25" t="str">
            <v>AM</v>
          </cell>
          <cell r="F25" t="str">
            <v>ü</v>
          </cell>
          <cell r="G25" t="str">
            <v>Adequação</v>
          </cell>
          <cell r="H25">
            <v>21907333.333333332</v>
          </cell>
          <cell r="I25">
            <v>21907333.333333332</v>
          </cell>
          <cell r="J25">
            <v>21907333.333333332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65722000</v>
          </cell>
        </row>
        <row r="26">
          <cell r="A26" t="str">
            <v>SWEI</v>
          </cell>
          <cell r="B26" t="str">
            <v>EIRUNEPÉ</v>
          </cell>
          <cell r="C26" t="str">
            <v>SWEI130140</v>
          </cell>
          <cell r="D26" t="str">
            <v>EIRUNEPÉ</v>
          </cell>
          <cell r="E26" t="str">
            <v>AM</v>
          </cell>
          <cell r="F26" t="str">
            <v>ü</v>
          </cell>
          <cell r="G26" t="str">
            <v>Adequação</v>
          </cell>
          <cell r="H26">
            <v>12367500</v>
          </cell>
          <cell r="I26">
            <v>12367500</v>
          </cell>
          <cell r="J26">
            <v>12367500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37102500</v>
          </cell>
        </row>
        <row r="27">
          <cell r="A27" t="str">
            <v>SWEK</v>
          </cell>
          <cell r="B27" t="str">
            <v>CANARANA</v>
          </cell>
          <cell r="C27" t="str">
            <v>SWEK510270</v>
          </cell>
          <cell r="D27" t="str">
            <v>CANARANA</v>
          </cell>
          <cell r="E27" t="str">
            <v>MT</v>
          </cell>
          <cell r="F27" t="str">
            <v>ü</v>
          </cell>
          <cell r="G27" t="str">
            <v>Adequação</v>
          </cell>
          <cell r="H27">
            <v>29264563.02</v>
          </cell>
          <cell r="I27">
            <v>29264563.02</v>
          </cell>
          <cell r="J27">
            <v>29264563.02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87793689.060000002</v>
          </cell>
        </row>
        <row r="28">
          <cell r="A28" t="str">
            <v>SWGN</v>
          </cell>
          <cell r="B28" t="str">
            <v>ARAGUAÍNA</v>
          </cell>
          <cell r="C28" t="str">
            <v>SWGN170210</v>
          </cell>
          <cell r="D28" t="str">
            <v>ARAGUAÍNA</v>
          </cell>
          <cell r="E28" t="str">
            <v>TO</v>
          </cell>
          <cell r="F28" t="str">
            <v>ü</v>
          </cell>
          <cell r="G28" t="str">
            <v>Adequação</v>
          </cell>
          <cell r="H28">
            <v>32387500</v>
          </cell>
          <cell r="I28">
            <v>32387500</v>
          </cell>
          <cell r="J28">
            <v>32387500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97162500</v>
          </cell>
        </row>
        <row r="29">
          <cell r="A29" t="str">
            <v>SWJN</v>
          </cell>
          <cell r="B29" t="str">
            <v>JUÍNA</v>
          </cell>
          <cell r="C29" t="str">
            <v>SWJN510515</v>
          </cell>
          <cell r="D29" t="str">
            <v>JUÍNA</v>
          </cell>
          <cell r="E29" t="str">
            <v>MT</v>
          </cell>
          <cell r="F29" t="str">
            <v>ü</v>
          </cell>
          <cell r="G29" t="str">
            <v>Adequação</v>
          </cell>
          <cell r="H29">
            <v>3517500</v>
          </cell>
          <cell r="I29">
            <v>3517500</v>
          </cell>
          <cell r="J29">
            <v>3517500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10552500</v>
          </cell>
        </row>
        <row r="30">
          <cell r="A30" t="str">
            <v>SWKC</v>
          </cell>
          <cell r="B30" t="str">
            <v>CÁCERES</v>
          </cell>
          <cell r="C30" t="str">
            <v>SWKC510250</v>
          </cell>
          <cell r="D30" t="str">
            <v>CÁCERES</v>
          </cell>
          <cell r="E30" t="str">
            <v>MT</v>
          </cell>
          <cell r="F30" t="str">
            <v>ü</v>
          </cell>
          <cell r="G30" t="str">
            <v>Adequação</v>
          </cell>
          <cell r="H30">
            <v>9862500</v>
          </cell>
          <cell r="I30">
            <v>9862500</v>
          </cell>
          <cell r="J30">
            <v>9862500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29587500</v>
          </cell>
        </row>
        <row r="31">
          <cell r="A31" t="str">
            <v>SWKQ</v>
          </cell>
          <cell r="B31" t="str">
            <v>SERRA DA CAPIVARA/SÃO RAIMUNDO NONATO</v>
          </cell>
          <cell r="C31" t="str">
            <v>SWKQ221060</v>
          </cell>
          <cell r="D31" t="str">
            <v>SÃO RAIMUNDO NONATO</v>
          </cell>
          <cell r="E31" t="str">
            <v>PI</v>
          </cell>
          <cell r="F31" t="str">
            <v>ü</v>
          </cell>
          <cell r="G31" t="str">
            <v>Adequação</v>
          </cell>
          <cell r="H31">
            <v>4842500</v>
          </cell>
          <cell r="I31">
            <v>4842500</v>
          </cell>
          <cell r="J31">
            <v>4842500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14527500</v>
          </cell>
        </row>
        <row r="32">
          <cell r="A32" t="str">
            <v>SWLB</v>
          </cell>
          <cell r="B32" t="str">
            <v>LÁBREA</v>
          </cell>
          <cell r="C32" t="str">
            <v>SWLB130240</v>
          </cell>
          <cell r="D32" t="str">
            <v>LÁBREA</v>
          </cell>
          <cell r="E32" t="str">
            <v>AM</v>
          </cell>
          <cell r="F32" t="str">
            <v>ü</v>
          </cell>
          <cell r="G32" t="str">
            <v>Adequação</v>
          </cell>
          <cell r="H32">
            <v>18762333.333333332</v>
          </cell>
          <cell r="I32">
            <v>18762333.333333332</v>
          </cell>
          <cell r="J32">
            <v>18762333.333333332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56287000</v>
          </cell>
        </row>
        <row r="33">
          <cell r="A33" t="str">
            <v>SWMW</v>
          </cell>
          <cell r="B33" t="str">
            <v>MAUÉS</v>
          </cell>
          <cell r="C33" t="str">
            <v>SWMW130290</v>
          </cell>
          <cell r="D33" t="str">
            <v>MAUÉS</v>
          </cell>
          <cell r="E33" t="str">
            <v>AM</v>
          </cell>
          <cell r="F33" t="str">
            <v>ü</v>
          </cell>
          <cell r="G33" t="str">
            <v>Adequação</v>
          </cell>
          <cell r="H33">
            <v>4737333.333333333</v>
          </cell>
          <cell r="I33">
            <v>4737333.333333333</v>
          </cell>
          <cell r="J33">
            <v>4737333.333333333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14212000</v>
          </cell>
        </row>
        <row r="34">
          <cell r="A34" t="str">
            <v>SWPI</v>
          </cell>
          <cell r="B34" t="str">
            <v>PARINTINS</v>
          </cell>
          <cell r="C34" t="str">
            <v>SWPI130340</v>
          </cell>
          <cell r="D34" t="str">
            <v>PARINTINS</v>
          </cell>
          <cell r="E34" t="str">
            <v>AM</v>
          </cell>
          <cell r="F34" t="str">
            <v>ü</v>
          </cell>
          <cell r="G34" t="str">
            <v>Adequação</v>
          </cell>
          <cell r="H34">
            <v>38207500</v>
          </cell>
          <cell r="I34">
            <v>38207500</v>
          </cell>
          <cell r="J34">
            <v>38207500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114622500</v>
          </cell>
        </row>
        <row r="35">
          <cell r="A35" t="str">
            <v>SWTS</v>
          </cell>
          <cell r="B35" t="str">
            <v>TANGARÁ DA SERRA</v>
          </cell>
          <cell r="C35" t="str">
            <v>SWTS510795</v>
          </cell>
          <cell r="D35" t="str">
            <v>TANGARÁ DA SERRA</v>
          </cell>
          <cell r="E35" t="str">
            <v>MT</v>
          </cell>
          <cell r="F35" t="str">
            <v>ü</v>
          </cell>
          <cell r="G35" t="str">
            <v>Adequação</v>
          </cell>
          <cell r="H35">
            <v>18640000</v>
          </cell>
          <cell r="I35">
            <v>18640000</v>
          </cell>
          <cell r="J35">
            <v>18640000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55920000</v>
          </cell>
        </row>
        <row r="36">
          <cell r="A36" t="str">
            <v>SNSM</v>
          </cell>
          <cell r="B36" t="str">
            <v>SALINÓPOLIS</v>
          </cell>
          <cell r="C36" t="str">
            <v>SNSM150620</v>
          </cell>
          <cell r="D36" t="str">
            <v>SALINÓPOLIS</v>
          </cell>
          <cell r="E36" t="str">
            <v>PA</v>
          </cell>
          <cell r="F36" t="str">
            <v>ü</v>
          </cell>
          <cell r="G36" t="str">
            <v>Adequação</v>
          </cell>
          <cell r="H36">
            <v>51626166.666666664</v>
          </cell>
          <cell r="I36">
            <v>51626166.666666664</v>
          </cell>
          <cell r="J36">
            <v>51626166.666666664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154878500</v>
          </cell>
        </row>
        <row r="37">
          <cell r="A37" t="str">
            <v>SSRS</v>
          </cell>
          <cell r="B37" t="str">
            <v>BARREIRINHAS</v>
          </cell>
          <cell r="C37" t="str">
            <v>SSRS210170</v>
          </cell>
          <cell r="D37" t="str">
            <v>BARREIRINHAS</v>
          </cell>
          <cell r="E37" t="str">
            <v>MA</v>
          </cell>
          <cell r="F37" t="str">
            <v>ü</v>
          </cell>
          <cell r="G37" t="str">
            <v>Adequação</v>
          </cell>
          <cell r="H37">
            <v>26945000</v>
          </cell>
          <cell r="I37">
            <v>26945000</v>
          </cell>
          <cell r="J37">
            <v>26945000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80835000</v>
          </cell>
        </row>
        <row r="38">
          <cell r="A38" t="str">
            <v>SBEK</v>
          </cell>
          <cell r="B38" t="str">
            <v>JACAREACANGA</v>
          </cell>
          <cell r="C38" t="str">
            <v>SBEK150375</v>
          </cell>
          <cell r="D38" t="str">
            <v>Jacareacanga</v>
          </cell>
          <cell r="E38" t="str">
            <v>PA</v>
          </cell>
          <cell r="F38" t="str">
            <v>ü</v>
          </cell>
          <cell r="G38" t="str">
            <v>Adequação</v>
          </cell>
          <cell r="H38">
            <v>15768954.419660168</v>
          </cell>
          <cell r="I38">
            <v>15768954.419660168</v>
          </cell>
          <cell r="J38">
            <v>15768954.419660168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47306863.258980505</v>
          </cell>
        </row>
        <row r="39">
          <cell r="A39" t="str">
            <v>SDCG</v>
          </cell>
          <cell r="B39" t="str">
            <v>SENADORA EUNICE MICHILES</v>
          </cell>
          <cell r="C39" t="str">
            <v>SDCG130390</v>
          </cell>
          <cell r="D39" t="str">
            <v>São Paulo de Olivença</v>
          </cell>
          <cell r="E39" t="str">
            <v>AM</v>
          </cell>
          <cell r="F39" t="str">
            <v>ü</v>
          </cell>
          <cell r="G39" t="str">
            <v>Adequação</v>
          </cell>
          <cell r="H39">
            <v>8658015.3578212559</v>
          </cell>
          <cell r="I39">
            <v>8658015.3578212559</v>
          </cell>
          <cell r="J39">
            <v>8658015.3578212559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25974046.073463768</v>
          </cell>
        </row>
        <row r="40">
          <cell r="A40" t="str">
            <v>SDH2</v>
          </cell>
          <cell r="B40" t="str">
            <v>PORTO ALEGRE DO NORTE</v>
          </cell>
          <cell r="C40" t="str">
            <v>SDH2510677</v>
          </cell>
          <cell r="D40" t="str">
            <v>Porto Alegre do Norte</v>
          </cell>
          <cell r="E40" t="str">
            <v>MT</v>
          </cell>
          <cell r="F40" t="str">
            <v>ü</v>
          </cell>
          <cell r="G40" t="str">
            <v>Adequação</v>
          </cell>
          <cell r="H40">
            <v>8093097.0999957174</v>
          </cell>
          <cell r="I40">
            <v>8093097.0999957174</v>
          </cell>
          <cell r="J40">
            <v>8093097.0999957174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24279291.299987152</v>
          </cell>
        </row>
        <row r="41">
          <cell r="A41" t="str">
            <v>SDP8</v>
          </cell>
          <cell r="B41" t="str">
            <v>MARECHAL THAUMATURGO</v>
          </cell>
          <cell r="C41" t="str">
            <v>SSMH120035</v>
          </cell>
          <cell r="D41" t="str">
            <v>Marechal Thaumaturgo</v>
          </cell>
          <cell r="E41" t="str">
            <v>AC</v>
          </cell>
          <cell r="F41" t="str">
            <v>ü</v>
          </cell>
          <cell r="G41" t="str">
            <v>Adequação</v>
          </cell>
          <cell r="H41">
            <v>7049628.1529999999</v>
          </cell>
          <cell r="I41">
            <v>7049628.1529999999</v>
          </cell>
          <cell r="J41">
            <v>7049628.1529999999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21148884.458999999</v>
          </cell>
        </row>
        <row r="42">
          <cell r="A42" t="str">
            <v>SJNP</v>
          </cell>
          <cell r="B42" t="str">
            <v>NOVO PROGRESSO</v>
          </cell>
          <cell r="C42" t="str">
            <v>SJNP150503</v>
          </cell>
          <cell r="D42" t="str">
            <v>Novo Progresso</v>
          </cell>
          <cell r="E42" t="str">
            <v>PA</v>
          </cell>
          <cell r="F42" t="str">
            <v>ü</v>
          </cell>
          <cell r="G42" t="str">
            <v>Adequação</v>
          </cell>
          <cell r="H42">
            <v>14261496.532715702</v>
          </cell>
          <cell r="I42">
            <v>14261496.532715702</v>
          </cell>
          <cell r="J42">
            <v>14261496.532715702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42784489.598147109</v>
          </cell>
        </row>
        <row r="43">
          <cell r="A43" t="str">
            <v>SNAB</v>
          </cell>
          <cell r="B43" t="str">
            <v>ARARIPINA</v>
          </cell>
          <cell r="C43" t="str">
            <v>SNAB260110</v>
          </cell>
          <cell r="D43" t="str">
            <v>ARARIPINA</v>
          </cell>
          <cell r="E43" t="str">
            <v>PE</v>
          </cell>
          <cell r="F43" t="str">
            <v>ü</v>
          </cell>
          <cell r="G43" t="str">
            <v>Adequação</v>
          </cell>
          <cell r="H43">
            <v>8477489.6469364166</v>
          </cell>
          <cell r="I43">
            <v>8477489.6469364166</v>
          </cell>
          <cell r="J43">
            <v>8477489.6469364166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25432468.94080925</v>
          </cell>
        </row>
        <row r="44">
          <cell r="A44" t="str">
            <v>SNBI</v>
          </cell>
          <cell r="B44" t="str">
            <v>BACABAL</v>
          </cell>
          <cell r="C44" t="str">
            <v>SNBI210120</v>
          </cell>
          <cell r="D44" t="str">
            <v>Bacabal</v>
          </cell>
          <cell r="E44" t="str">
            <v>MA</v>
          </cell>
          <cell r="F44" t="str">
            <v>ü</v>
          </cell>
          <cell r="G44" t="str">
            <v>Adequação</v>
          </cell>
          <cell r="H44">
            <v>13311873.64624523</v>
          </cell>
          <cell r="I44">
            <v>13311873.64624523</v>
          </cell>
          <cell r="J44">
            <v>13311873.64624523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39935620.938735694</v>
          </cell>
        </row>
        <row r="45">
          <cell r="A45" t="str">
            <v>SNBS</v>
          </cell>
          <cell r="B45" t="str">
            <v>BALSAS</v>
          </cell>
          <cell r="C45" t="str">
            <v>SNBS210140</v>
          </cell>
          <cell r="D45" t="str">
            <v>Balsas</v>
          </cell>
          <cell r="E45" t="str">
            <v>MA</v>
          </cell>
          <cell r="F45" t="str">
            <v>ü</v>
          </cell>
          <cell r="G45" t="str">
            <v>Adequação</v>
          </cell>
          <cell r="H45">
            <v>9720393.1727319174</v>
          </cell>
          <cell r="I45">
            <v>9720393.1727319174</v>
          </cell>
          <cell r="J45">
            <v>9720393.1727319174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29161179.518195752</v>
          </cell>
        </row>
        <row r="46">
          <cell r="A46" t="str">
            <v>SNGN</v>
          </cell>
          <cell r="B46" t="str">
            <v>GARANHUNS</v>
          </cell>
          <cell r="C46" t="str">
            <v>SNGN260600</v>
          </cell>
          <cell r="D46" t="str">
            <v>GARANHUNS</v>
          </cell>
          <cell r="E46" t="str">
            <v>PE</v>
          </cell>
          <cell r="F46" t="str">
            <v>ü</v>
          </cell>
          <cell r="G46" t="str">
            <v>Adequação</v>
          </cell>
          <cell r="H46">
            <v>8890881.0359826591</v>
          </cell>
          <cell r="I46">
            <v>8890881.0359826591</v>
          </cell>
          <cell r="J46">
            <v>8890881.0359826591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26672643.107947975</v>
          </cell>
        </row>
        <row r="47">
          <cell r="A47" t="str">
            <v>SWCQ</v>
          </cell>
          <cell r="B47" t="str">
            <v>COSTA MARQUES</v>
          </cell>
          <cell r="C47" t="str">
            <v>SWCQ110008</v>
          </cell>
          <cell r="D47" t="str">
            <v>Costa Marques</v>
          </cell>
          <cell r="E47" t="str">
            <v>RO</v>
          </cell>
          <cell r="F47" t="str">
            <v>ü</v>
          </cell>
          <cell r="G47" t="str">
            <v>Adequação</v>
          </cell>
          <cell r="H47">
            <v>10254326.840265812</v>
          </cell>
          <cell r="I47">
            <v>10254326.840265812</v>
          </cell>
          <cell r="J47">
            <v>10254326.840265812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30762980.520797439</v>
          </cell>
        </row>
        <row r="48">
          <cell r="A48" t="str">
            <v>SWII</v>
          </cell>
          <cell r="B48" t="str">
            <v>IPIRANGA</v>
          </cell>
          <cell r="C48" t="str">
            <v>SWII130370</v>
          </cell>
          <cell r="D48" t="str">
            <v>Santo Antônio do Içá</v>
          </cell>
          <cell r="E48" t="str">
            <v>AM</v>
          </cell>
          <cell r="F48" t="str">
            <v>ü</v>
          </cell>
          <cell r="G48" t="str">
            <v>Adequação</v>
          </cell>
          <cell r="H48">
            <v>13450406.419648483</v>
          </cell>
          <cell r="I48">
            <v>13450406.419648483</v>
          </cell>
          <cell r="J48">
            <v>13450406.419648483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40351219.25894545</v>
          </cell>
        </row>
        <row r="49">
          <cell r="A49" t="str">
            <v>SWOB</v>
          </cell>
          <cell r="B49" t="str">
            <v>FONTE BOA</v>
          </cell>
          <cell r="C49" t="str">
            <v>SWOB130160</v>
          </cell>
          <cell r="D49" t="str">
            <v>Fonte Boa</v>
          </cell>
          <cell r="E49" t="str">
            <v>AM</v>
          </cell>
          <cell r="F49" t="str">
            <v>ü</v>
          </cell>
          <cell r="G49" t="str">
            <v>Adequação</v>
          </cell>
          <cell r="H49">
            <v>11065141.542894688</v>
          </cell>
          <cell r="I49">
            <v>11065141.542894688</v>
          </cell>
          <cell r="J49">
            <v>11065141.542894688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33195424.628684063</v>
          </cell>
        </row>
        <row r="50">
          <cell r="A50" t="str">
            <v>SWPY</v>
          </cell>
          <cell r="B50" t="str">
            <v>PRIMAVERA DO LESTE</v>
          </cell>
          <cell r="C50" t="str">
            <v>SWPY510704</v>
          </cell>
          <cell r="D50" t="str">
            <v>Primavera do Leste</v>
          </cell>
          <cell r="E50" t="str">
            <v>MT</v>
          </cell>
          <cell r="F50" t="str">
            <v>ü</v>
          </cell>
          <cell r="G50" t="str">
            <v>Adequação</v>
          </cell>
          <cell r="H50">
            <v>8651636.8099062257</v>
          </cell>
          <cell r="I50">
            <v>8651636.8099062257</v>
          </cell>
          <cell r="J50">
            <v>8651636.8099062257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25954910.429718677</v>
          </cell>
        </row>
        <row r="51">
          <cell r="A51" t="str">
            <v>SWTP</v>
          </cell>
          <cell r="B51" t="str">
            <v>SANTA ISABEL DO RIO NEGRO</v>
          </cell>
          <cell r="C51" t="str">
            <v>SWTP130360</v>
          </cell>
          <cell r="D51" t="str">
            <v>Santa Isabel do Rio Negro</v>
          </cell>
          <cell r="E51" t="str">
            <v>AM</v>
          </cell>
          <cell r="F51" t="str">
            <v>ü</v>
          </cell>
          <cell r="G51" t="str">
            <v>Adequação</v>
          </cell>
          <cell r="H51">
            <v>11379870.415774809</v>
          </cell>
          <cell r="I51">
            <v>11379870.415774809</v>
          </cell>
          <cell r="J51">
            <v>11379870.415774809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34139611.247324429</v>
          </cell>
        </row>
        <row r="52">
          <cell r="A52" t="str">
            <v>SWYN</v>
          </cell>
          <cell r="B52" t="str">
            <v>APUÍ</v>
          </cell>
          <cell r="C52" t="str">
            <v>SWYN130014</v>
          </cell>
          <cell r="D52" t="str">
            <v>Apuí</v>
          </cell>
          <cell r="E52" t="str">
            <v>AM</v>
          </cell>
          <cell r="F52" t="str">
            <v>ü</v>
          </cell>
          <cell r="G52" t="str">
            <v>Adequação</v>
          </cell>
          <cell r="H52">
            <v>10137504.257142484</v>
          </cell>
          <cell r="I52">
            <v>10137504.257142484</v>
          </cell>
          <cell r="J52">
            <v>10137504.257142484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30412512.771427453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8B77-7F16-42D7-93D1-57B2E200D7A7}">
  <sheetPr codeName="Planilha1">
    <tabColor theme="0"/>
  </sheetPr>
  <dimension ref="B1:AB92"/>
  <sheetViews>
    <sheetView topLeftCell="A67" workbookViewId="0"/>
  </sheetViews>
  <sheetFormatPr defaultColWidth="9.140625" defaultRowHeight="15" x14ac:dyDescent="0.25"/>
  <cols>
    <col min="1" max="1" width="5" style="20" customWidth="1"/>
    <col min="2" max="2" width="9.140625" style="20" customWidth="1"/>
    <col min="3" max="16384" width="9.140625" style="20"/>
  </cols>
  <sheetData>
    <row r="1" spans="2:28" ht="7.5" customHeight="1" x14ac:dyDescent="0.25"/>
    <row r="2" spans="2:28" x14ac:dyDescent="0.25">
      <c r="B2" s="76" t="s">
        <v>1265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4" spans="2:28" ht="15" customHeight="1" x14ac:dyDescent="0.25">
      <c r="B4" s="77" t="s">
        <v>1262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21"/>
    </row>
    <row r="5" spans="2:28" x14ac:dyDescent="0.25"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21"/>
    </row>
    <row r="6" spans="2:28" x14ac:dyDescent="0.25"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21"/>
    </row>
    <row r="7" spans="2:28" x14ac:dyDescent="0.25"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21"/>
    </row>
    <row r="8" spans="2:28" x14ac:dyDescent="0.25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21"/>
    </row>
    <row r="9" spans="2:28" x14ac:dyDescent="0.25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21"/>
    </row>
    <row r="10" spans="2:28" x14ac:dyDescent="0.25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21"/>
    </row>
    <row r="11" spans="2:28" x14ac:dyDescent="0.25"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21"/>
    </row>
    <row r="12" spans="2:28" x14ac:dyDescent="0.25"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21"/>
    </row>
    <row r="13" spans="2:28" x14ac:dyDescent="0.25"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21"/>
    </row>
    <row r="14" spans="2:28" x14ac:dyDescent="0.25"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21"/>
    </row>
    <row r="15" spans="2:28" x14ac:dyDescent="0.25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21"/>
    </row>
    <row r="16" spans="2:28" x14ac:dyDescent="0.25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21"/>
    </row>
    <row r="17" spans="2:28" x14ac:dyDescent="0.25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21"/>
    </row>
    <row r="18" spans="2:28" x14ac:dyDescent="0.25"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21"/>
    </row>
    <row r="19" spans="2:28" x14ac:dyDescent="0.25"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21"/>
    </row>
    <row r="20" spans="2:28" x14ac:dyDescent="0.25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21"/>
    </row>
    <row r="21" spans="2:28" x14ac:dyDescent="0.25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21"/>
    </row>
    <row r="22" spans="2:28" x14ac:dyDescent="0.25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21"/>
    </row>
    <row r="23" spans="2:28" x14ac:dyDescent="0.25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21"/>
    </row>
    <row r="24" spans="2:28" x14ac:dyDescent="0.25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21"/>
    </row>
    <row r="25" spans="2:28" x14ac:dyDescent="0.25"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21"/>
    </row>
    <row r="26" spans="2:28" x14ac:dyDescent="0.25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21"/>
    </row>
    <row r="27" spans="2:28" x14ac:dyDescent="0.25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21"/>
    </row>
    <row r="28" spans="2:28" x14ac:dyDescent="0.25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21"/>
    </row>
    <row r="29" spans="2:28" x14ac:dyDescent="0.25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21"/>
    </row>
    <row r="30" spans="2:28" x14ac:dyDescent="0.25"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21"/>
    </row>
    <row r="31" spans="2:28" x14ac:dyDescent="0.25"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21"/>
    </row>
    <row r="32" spans="2:28" x14ac:dyDescent="0.25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21"/>
    </row>
    <row r="33" spans="2:28" x14ac:dyDescent="0.25"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21"/>
    </row>
    <row r="34" spans="2:28" x14ac:dyDescent="0.25"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21"/>
    </row>
    <row r="35" spans="2:28" x14ac:dyDescent="0.25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21"/>
    </row>
    <row r="36" spans="2:28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21"/>
    </row>
    <row r="37" spans="2:28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21"/>
    </row>
    <row r="38" spans="2:28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21"/>
    </row>
    <row r="39" spans="2:28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2:28" ht="15" customHeight="1" x14ac:dyDescent="0.25">
      <c r="B40" s="74" t="s">
        <v>310</v>
      </c>
      <c r="C40" s="74"/>
      <c r="D40" s="74"/>
      <c r="E40" s="74"/>
      <c r="F40" s="74"/>
      <c r="G40" s="74"/>
    </row>
    <row r="41" spans="2:28" ht="15" customHeight="1" x14ac:dyDescent="0.25">
      <c r="B41" s="74"/>
      <c r="C41" s="74"/>
      <c r="D41" s="74"/>
      <c r="E41" s="74"/>
      <c r="F41" s="74"/>
      <c r="G41" s="74"/>
    </row>
    <row r="42" spans="2:28" x14ac:dyDescent="0.25">
      <c r="B42" s="74"/>
      <c r="C42" s="74"/>
      <c r="D42" s="74"/>
      <c r="E42" s="74"/>
      <c r="F42" s="74"/>
      <c r="G42" s="74"/>
    </row>
    <row r="44" spans="2:28" x14ac:dyDescent="0.25">
      <c r="B44" s="75" t="s">
        <v>311</v>
      </c>
      <c r="C44" s="75"/>
      <c r="D44" s="75"/>
      <c r="E44" s="75"/>
    </row>
    <row r="46" spans="2:28" ht="15" customHeight="1" x14ac:dyDescent="0.25">
      <c r="B46" s="74" t="s">
        <v>301</v>
      </c>
      <c r="C46" s="74"/>
      <c r="D46" s="74"/>
      <c r="E46" s="74"/>
      <c r="F46" s="74"/>
      <c r="G46" s="74"/>
    </row>
    <row r="47" spans="2:28" ht="15" customHeight="1" x14ac:dyDescent="0.25">
      <c r="B47" s="74"/>
      <c r="C47" s="74"/>
      <c r="D47" s="74"/>
      <c r="E47" s="74"/>
      <c r="F47" s="74"/>
      <c r="G47" s="74"/>
    </row>
    <row r="48" spans="2:28" x14ac:dyDescent="0.25">
      <c r="B48" s="74"/>
      <c r="C48" s="74"/>
      <c r="D48" s="74"/>
      <c r="E48" s="74"/>
      <c r="F48" s="74"/>
      <c r="G48" s="74"/>
    </row>
    <row r="50" spans="2:11" x14ac:dyDescent="0.25">
      <c r="B50" s="75" t="s">
        <v>1263</v>
      </c>
      <c r="C50" s="75"/>
      <c r="D50" s="75"/>
      <c r="E50" s="75"/>
      <c r="G50" s="24"/>
      <c r="K50" s="24"/>
    </row>
    <row r="52" spans="2:11" x14ac:dyDescent="0.25">
      <c r="B52" s="75" t="s">
        <v>300</v>
      </c>
      <c r="C52" s="75"/>
      <c r="D52" s="75"/>
      <c r="E52" s="75"/>
    </row>
    <row r="54" spans="2:11" ht="15" customHeight="1" x14ac:dyDescent="0.25">
      <c r="B54" s="74" t="s">
        <v>139</v>
      </c>
      <c r="C54" s="74"/>
      <c r="D54" s="74"/>
      <c r="E54" s="74"/>
      <c r="F54" s="74"/>
      <c r="G54" s="74"/>
    </row>
    <row r="55" spans="2:11" ht="15" customHeight="1" x14ac:dyDescent="0.25">
      <c r="B55" s="74"/>
      <c r="C55" s="74"/>
      <c r="D55" s="74"/>
      <c r="E55" s="74"/>
      <c r="F55" s="74"/>
      <c r="G55" s="74"/>
    </row>
    <row r="56" spans="2:11" x14ac:dyDescent="0.25">
      <c r="B56" s="74"/>
      <c r="C56" s="74"/>
      <c r="D56" s="74"/>
      <c r="E56" s="74"/>
      <c r="F56" s="74"/>
      <c r="G56" s="74"/>
    </row>
    <row r="58" spans="2:11" x14ac:dyDescent="0.25">
      <c r="B58" s="75" t="s">
        <v>303</v>
      </c>
      <c r="C58" s="75"/>
      <c r="D58" s="75"/>
      <c r="G58" s="24"/>
    </row>
    <row r="60" spans="2:11" x14ac:dyDescent="0.25">
      <c r="B60" s="75" t="s">
        <v>302</v>
      </c>
      <c r="C60" s="75"/>
      <c r="D60" s="75"/>
    </row>
    <row r="62" spans="2:11" x14ac:dyDescent="0.25">
      <c r="B62" s="75" t="s">
        <v>304</v>
      </c>
      <c r="C62" s="75"/>
      <c r="D62" s="75"/>
      <c r="G62" s="24"/>
    </row>
    <row r="63" spans="2:11" x14ac:dyDescent="0.25">
      <c r="B63" s="70"/>
      <c r="C63" s="70"/>
      <c r="D63" s="70"/>
      <c r="G63" s="24"/>
    </row>
    <row r="64" spans="2:11" x14ac:dyDescent="0.25">
      <c r="B64" s="75" t="s">
        <v>1264</v>
      </c>
      <c r="C64" s="75"/>
      <c r="D64" s="75"/>
      <c r="G64" s="24"/>
    </row>
    <row r="66" spans="2:7" x14ac:dyDescent="0.25">
      <c r="B66" s="74" t="s">
        <v>140</v>
      </c>
      <c r="C66" s="74"/>
      <c r="D66" s="74"/>
      <c r="E66" s="74"/>
      <c r="F66" s="74"/>
      <c r="G66" s="74"/>
    </row>
    <row r="67" spans="2:7" x14ac:dyDescent="0.25">
      <c r="B67" s="74"/>
      <c r="C67" s="74"/>
      <c r="D67" s="74"/>
      <c r="E67" s="74"/>
      <c r="F67" s="74"/>
      <c r="G67" s="74"/>
    </row>
    <row r="68" spans="2:7" x14ac:dyDescent="0.25">
      <c r="B68" s="74"/>
      <c r="C68" s="74"/>
      <c r="D68" s="74"/>
      <c r="E68" s="74"/>
      <c r="F68" s="74"/>
      <c r="G68" s="74"/>
    </row>
    <row r="69" spans="2:7" x14ac:dyDescent="0.25">
      <c r="B69" s="22"/>
      <c r="C69" s="22"/>
      <c r="D69" s="22"/>
      <c r="E69" s="22"/>
      <c r="F69" s="22"/>
      <c r="G69" s="22"/>
    </row>
    <row r="70" spans="2:7" x14ac:dyDescent="0.25">
      <c r="B70" s="75" t="s">
        <v>314</v>
      </c>
      <c r="C70" s="75"/>
      <c r="D70" s="75"/>
      <c r="E70" s="22"/>
      <c r="F70" s="22"/>
      <c r="G70" s="22"/>
    </row>
    <row r="71" spans="2:7" x14ac:dyDescent="0.25">
      <c r="B71" s="22"/>
      <c r="C71" s="22"/>
      <c r="D71" s="22"/>
      <c r="E71" s="22"/>
      <c r="F71" s="22"/>
      <c r="G71" s="22"/>
    </row>
    <row r="72" spans="2:7" x14ac:dyDescent="0.25">
      <c r="B72" s="75" t="s">
        <v>312</v>
      </c>
      <c r="C72" s="75"/>
      <c r="D72" s="75"/>
      <c r="E72" s="75"/>
      <c r="F72" s="22"/>
      <c r="G72" s="22"/>
    </row>
    <row r="74" spans="2:7" x14ac:dyDescent="0.25">
      <c r="B74" s="75" t="s">
        <v>141</v>
      </c>
      <c r="C74" s="75"/>
      <c r="D74" s="75"/>
    </row>
    <row r="76" spans="2:7" x14ac:dyDescent="0.25">
      <c r="B76" s="75" t="s">
        <v>142</v>
      </c>
      <c r="C76" s="75"/>
      <c r="D76" s="75"/>
      <c r="G76" s="24"/>
    </row>
    <row r="78" spans="2:7" x14ac:dyDescent="0.25">
      <c r="B78" s="75" t="s">
        <v>143</v>
      </c>
      <c r="C78" s="75"/>
      <c r="D78" s="75"/>
      <c r="G78" s="24"/>
    </row>
    <row r="80" spans="2:7" x14ac:dyDescent="0.25">
      <c r="B80" s="75" t="s">
        <v>144</v>
      </c>
      <c r="C80" s="75"/>
      <c r="D80" s="75"/>
    </row>
    <row r="82" spans="2:7" x14ac:dyDescent="0.25">
      <c r="B82" s="75" t="s">
        <v>305</v>
      </c>
      <c r="C82" s="75"/>
      <c r="D82" s="75"/>
      <c r="E82" s="75"/>
    </row>
    <row r="84" spans="2:7" x14ac:dyDescent="0.25">
      <c r="B84" s="75" t="s">
        <v>306</v>
      </c>
      <c r="C84" s="75"/>
      <c r="D84" s="75"/>
      <c r="E84" s="75"/>
    </row>
    <row r="86" spans="2:7" x14ac:dyDescent="0.25">
      <c r="B86" s="75" t="s">
        <v>307</v>
      </c>
      <c r="C86" s="75"/>
      <c r="D86" s="75"/>
      <c r="E86" s="75"/>
    </row>
    <row r="88" spans="2:7" x14ac:dyDescent="0.25">
      <c r="B88" s="75" t="s">
        <v>308</v>
      </c>
      <c r="C88" s="75"/>
      <c r="D88" s="75"/>
      <c r="E88" s="75"/>
    </row>
    <row r="90" spans="2:7" x14ac:dyDescent="0.25">
      <c r="B90" s="75" t="s">
        <v>309</v>
      </c>
      <c r="C90" s="75"/>
      <c r="D90" s="75"/>
      <c r="E90" s="75"/>
      <c r="G90" s="24"/>
    </row>
    <row r="92" spans="2:7" x14ac:dyDescent="0.25">
      <c r="B92" s="75" t="s">
        <v>145</v>
      </c>
      <c r="C92" s="75"/>
      <c r="D92" s="75"/>
    </row>
  </sheetData>
  <mergeCells count="25">
    <mergeCell ref="B72:E72"/>
    <mergeCell ref="B90:E90"/>
    <mergeCell ref="B92:D92"/>
    <mergeCell ref="B78:D78"/>
    <mergeCell ref="B80:D80"/>
    <mergeCell ref="B82:E82"/>
    <mergeCell ref="B84:E84"/>
    <mergeCell ref="B86:E86"/>
    <mergeCell ref="B88:E88"/>
    <mergeCell ref="B76:D76"/>
    <mergeCell ref="B74:D74"/>
    <mergeCell ref="B66:G68"/>
    <mergeCell ref="B54:G56"/>
    <mergeCell ref="B70:D70"/>
    <mergeCell ref="B2:AA2"/>
    <mergeCell ref="B46:G48"/>
    <mergeCell ref="B40:G42"/>
    <mergeCell ref="B44:E44"/>
    <mergeCell ref="B4:AA38"/>
    <mergeCell ref="B50:E50"/>
    <mergeCell ref="B64:D64"/>
    <mergeCell ref="B52:E52"/>
    <mergeCell ref="B58:D58"/>
    <mergeCell ref="B60:D60"/>
    <mergeCell ref="B62:D62"/>
  </mergeCells>
  <hyperlinks>
    <hyperlink ref="B52" location="'FLUXO DE CAIXA - BLOCOS PAN'!A1" display="'FLUXO DE CAIXA - BLOCOS PAN'!A1" xr:uid="{5A0A3B23-44AE-481D-AFEA-B5F9E68AF7BF}"/>
    <hyperlink ref="B58" location="'RECEITAS - BLOCOS PAN'!A1" display="'RECEITAS - BLOCOS PAN'!A1" xr:uid="{70E8D6D1-17D9-47A6-B0F0-D6CF546BB387}"/>
    <hyperlink ref="B60" location="'CAPEX - BLOCOS PAN'!A1" display="'CAPEX - BLOCOS PAN'!A1" xr:uid="{5D107F25-40A8-410A-A2D8-D85B79656357}"/>
    <hyperlink ref="B62" location="'OPEX - BLOCOS PAN'!A1" display="'OPEX - BLOCOS PAN'!A1" xr:uid="{B99D23CC-0DCE-4122-9240-E42694336068}"/>
    <hyperlink ref="B74" location="'BASE PAN - CAPEX'!A1" display="'BASE PAN - CAPEX'!A1" xr:uid="{A2A967DC-F383-4AA2-8586-E4837708F8E5}"/>
    <hyperlink ref="B76" location="'BASE PAN - OPEX'!A1" display="'BASE PAN - OPEX'!A1" xr:uid="{F896CCD1-022E-49EA-8C86-CD091B44720D}"/>
    <hyperlink ref="B78" location="'BASE PAN - RECEITAS'!A1" display="'BASE PAN - RECEITAS'!A1" xr:uid="{19AE46E2-3D73-4102-A11B-37DDAC98FB31}"/>
    <hyperlink ref="B80" location="'BASE PAN - CAPEX - 1º ANO'!A1" display="'BASE PAN - CAPEX - 1º ANO'!A1" xr:uid="{32D81977-6B1A-47DF-BF40-BB5835C863C3}"/>
    <hyperlink ref="B82" location="'CAPEX Manut. Estr_PPD e Taxiway'!A1" display="'CAPEX Manut. Estr_PPD e Taxiway'!A1" xr:uid="{3562479E-7358-4739-9890-23066DA349EE}"/>
    <hyperlink ref="B84" location="'CAPEX Manut. Estratégicos_Pátio'!A1" display="'CAPEX Manut. Estratégicos_Pátio'!A1" xr:uid="{10071CC1-117E-4B1E-8AF0-CFFAF556B47A}"/>
    <hyperlink ref="B86" location="'CAPEX Manut. Estr_Naveg. Aérea'!A1" display="'CAPEX Manut. Estr_Naveg. Aérea'!A1" xr:uid="{8652C0F9-A1C4-41C4-841A-3FB89611B9A2}"/>
    <hyperlink ref="B88" location="'CAPEX Manut. Estr_Cerca Operac.'!A1" display="'CAPEX Manut. Estr_Cerca Operac.'!A1" xr:uid="{9AD2CBCD-A300-42E4-A56B-A5665C78BAD8}"/>
    <hyperlink ref="B90" location="'Receitas - Aerop. Estratégicos'!A1" display="'Receitas - Aerop. Estratégicos'!A1" xr:uid="{FA78DE65-D627-4681-BBE7-6C06031B36FD}"/>
    <hyperlink ref="B92" location="'Projeção - Demanda PAX'!A1" display="'Projeção - Demanda PAX'!A1" xr:uid="{66DCCE3E-94AF-4F67-9ECB-6ED5141306BF}"/>
    <hyperlink ref="B52:E52" location="'FLUXO DE CAIXA NOM.- PAN'!A1" display="FLUXO DE CAIXA NOM.- PAN'!A1" xr:uid="{669607A6-DC2D-4F6D-88DC-7DD28475D7FD}"/>
    <hyperlink ref="B60:D60" location="'CAPEX - PAN'!A1" display="CAPEX - PAN'!A1" xr:uid="{CC746A95-924E-4B51-84D0-941B117FC19D}"/>
    <hyperlink ref="B58:D58" location="'RECEITAS - PAN'!A1" display="RECEITAS - PAN'!A1" xr:uid="{AABAA098-28A3-4D26-9D18-AE1767AB221F}"/>
    <hyperlink ref="B62:D62" location="'OPEX - PAN'!A1" display="OPEX - PAN'!A1" xr:uid="{9EBEA852-086F-4224-9D74-DE0DDDDBFC9B}"/>
    <hyperlink ref="B92:D92" location="'Projeção - Demanda PAX'!A1" display="Projeção - Demanda PAX'!A1" xr:uid="{E56ACF46-3C1C-4E17-AB98-28B2C2D40EF3}"/>
    <hyperlink ref="B82:E82" location="'CAPEX - Manutenção_PPD'!A1" display="CAPEX - Manutenção_PPD'!A1" xr:uid="{5D17F354-106A-4824-A012-CB8BB8E451BA}"/>
    <hyperlink ref="B84:E84" location="'CAPEX - Manutenção_PTR_Taxiway'!A1" display="CAPEX - Manutenção_PTR_Taxiway'!A1" xr:uid="{111DF82A-9533-4996-AB3D-FE778B8DCCD3}"/>
    <hyperlink ref="B86:E86" location="'CAPEX - Manutenção_Pátio'!A1" display="CAPEX - Manutenção_Pátio'!A1" xr:uid="{05A22554-555F-44DA-B9A2-807C2FE8EE8E}"/>
    <hyperlink ref="B88:E88" location="'CAPEX - Manut._Desemborracham.'!A1" display="CAPEX - Manut._Desemborracham.'!A1" xr:uid="{0830C084-785B-4C7D-80D9-CD8E1554AFF9}"/>
    <hyperlink ref="B90:E90" location="'CAPEX - Navegação Aérea'!A1" display="CAPEX - Navegação Aérea'!A1" xr:uid="{1762D8F6-1E0B-45B9-BBF7-08DACFA7529B}"/>
    <hyperlink ref="B44" location="'FLUXO DE CAIXA - BLOCOS PAN'!A1" display="'FLUXO DE CAIXA - BLOCOS PAN'!A1" xr:uid="{94F85F49-5356-4A53-9C00-AE90A5A8F6E7}"/>
    <hyperlink ref="B44:E44" location="'AMPLIAR (RESUMO)'!A1" display="AMPLIAR (RESUMO)'!A1" xr:uid="{C4A01ACC-C7D2-4852-BBA5-0DAD402100BB}"/>
    <hyperlink ref="B72" location="'BASE PAN - CAPEX'!A1" display="'BASE PAN - CAPEX'!A1" xr:uid="{489FB17C-7B9E-4F84-954E-0E8DF3137D72}"/>
    <hyperlink ref="B72:D72" location="'Premissas - CAPEX_Manutenção'!A1" display="Premissas - CAPEX_Manutenção'!A1" xr:uid="{784C412A-572D-4006-A8F0-8907183581C8}"/>
    <hyperlink ref="B70" location="'BASE PAN - CAPEX'!A1" display="'BASE PAN - CAPEX'!A1" xr:uid="{CA96694E-9889-476E-AC0E-738A0F310597}"/>
    <hyperlink ref="B70:D70" location="'Premissas Gerais'!A1" display="Premissas Gerais'!A1" xr:uid="{59C4D5EA-4072-4C67-BADD-CE1DE552B16F}"/>
    <hyperlink ref="B50" location="'FLUXO DE CAIXA DESC.-BLOCOS PAN'!A1" display="'FLUXO DE CAIXA DESC.-BLOCOS PAN'!A1" xr:uid="{5747FAD0-3CF5-488B-A59D-EE9543568DC5}"/>
    <hyperlink ref="B50:E50" location="'FLUXO DE CAIXA NOM.- DETALHADO'!A1" display="FLUXO DE CAIXA NOM.- DETALHADO'!A1" xr:uid="{218710EB-E3ED-4CF3-9A11-E914A29B9626}"/>
    <hyperlink ref="B64" location="'CAPEX - BLOCOS PAN'!A1" display="'CAPEX - BLOCOS PAN'!A1" xr:uid="{C168E8E5-3C61-43FA-A313-265DFF9A4D34}"/>
    <hyperlink ref="B64:D64" location="'CAPEX - PAN (ANO A ANO)'!A1" display="CAPEX - PAN (ANO A ANO)'!A1" xr:uid="{A997D231-5132-48DC-A497-4848680DDC52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2F879-3315-47F0-B31D-D4DFA9236423}">
  <sheetPr codeName="Planilha16">
    <tabColor rgb="FF00B0F0"/>
  </sheetPr>
  <dimension ref="A1:CS28"/>
  <sheetViews>
    <sheetView workbookViewId="0">
      <pane xSplit="6" topLeftCell="G1" activePane="topRight" state="frozen"/>
      <selection activeCell="H3" sqref="H3"/>
      <selection pane="topRight" activeCell="A28" sqref="A28"/>
    </sheetView>
  </sheetViews>
  <sheetFormatPr defaultRowHeight="15" x14ac:dyDescent="0.25"/>
  <cols>
    <col min="1" max="1" width="7" bestFit="1" customWidth="1"/>
    <col min="2" max="2" width="19.140625" customWidth="1"/>
    <col min="3" max="3" width="7.42578125" bestFit="1" customWidth="1"/>
    <col min="4" max="4" width="13.140625" bestFit="1" customWidth="1"/>
    <col min="5" max="5" width="18.28515625" customWidth="1"/>
    <col min="6" max="6" width="3.85546875" bestFit="1" customWidth="1"/>
    <col min="7" max="7" width="10.140625" customWidth="1"/>
    <col min="8" max="13" width="18" bestFit="1" customWidth="1"/>
    <col min="14" max="14" width="18.140625" bestFit="1" customWidth="1"/>
    <col min="15" max="35" width="19.7109375" bestFit="1" customWidth="1"/>
    <col min="36" max="37" width="19.7109375" customWidth="1"/>
    <col min="38" max="38" width="20.42578125" bestFit="1" customWidth="1"/>
    <col min="39" max="39" width="19.42578125" bestFit="1" customWidth="1"/>
    <col min="40" max="40" width="18" bestFit="1" customWidth="1"/>
  </cols>
  <sheetData>
    <row r="1" spans="1:97" x14ac:dyDescent="0.25">
      <c r="A1" s="2" t="s">
        <v>0</v>
      </c>
      <c r="B1" s="2" t="s">
        <v>92</v>
      </c>
      <c r="C1" s="2" t="s">
        <v>93</v>
      </c>
      <c r="D1" s="2" t="s">
        <v>2</v>
      </c>
      <c r="E1" s="2" t="s">
        <v>3</v>
      </c>
      <c r="F1" s="2" t="s">
        <v>4</v>
      </c>
      <c r="G1" s="2" t="s">
        <v>94</v>
      </c>
      <c r="H1" s="2" t="s">
        <v>122</v>
      </c>
      <c r="I1" s="2" t="s">
        <v>122</v>
      </c>
      <c r="J1" s="2" t="s">
        <v>122</v>
      </c>
      <c r="K1" s="2" t="s">
        <v>122</v>
      </c>
      <c r="L1" s="2" t="s">
        <v>122</v>
      </c>
      <c r="M1" s="2" t="s">
        <v>122</v>
      </c>
      <c r="N1" s="2" t="s">
        <v>122</v>
      </c>
      <c r="O1" s="2" t="s">
        <v>122</v>
      </c>
      <c r="P1" s="2" t="s">
        <v>122</v>
      </c>
      <c r="Q1" s="2" t="s">
        <v>122</v>
      </c>
      <c r="R1" s="2" t="s">
        <v>122</v>
      </c>
      <c r="S1" s="2" t="s">
        <v>122</v>
      </c>
      <c r="T1" s="2" t="s">
        <v>122</v>
      </c>
      <c r="U1" s="2" t="s">
        <v>122</v>
      </c>
      <c r="V1" s="2" t="s">
        <v>122</v>
      </c>
      <c r="W1" s="2" t="s">
        <v>122</v>
      </c>
      <c r="X1" s="2" t="s">
        <v>122</v>
      </c>
      <c r="Y1" s="2" t="s">
        <v>122</v>
      </c>
      <c r="Z1" s="2" t="s">
        <v>122</v>
      </c>
      <c r="AA1" s="2" t="s">
        <v>122</v>
      </c>
      <c r="AB1" s="2" t="s">
        <v>122</v>
      </c>
      <c r="AC1" s="2" t="s">
        <v>122</v>
      </c>
      <c r="AD1" s="2" t="s">
        <v>122</v>
      </c>
      <c r="AE1" s="2" t="s">
        <v>122</v>
      </c>
      <c r="AF1" s="2" t="s">
        <v>122</v>
      </c>
      <c r="AG1" s="2" t="s">
        <v>122</v>
      </c>
      <c r="AH1" s="2" t="s">
        <v>122</v>
      </c>
      <c r="AI1" s="2" t="s">
        <v>122</v>
      </c>
      <c r="AJ1" s="2" t="s">
        <v>122</v>
      </c>
      <c r="AK1" s="2" t="s">
        <v>122</v>
      </c>
      <c r="AL1" s="2" t="s">
        <v>122</v>
      </c>
      <c r="AM1" s="2" t="s">
        <v>122</v>
      </c>
      <c r="AN1" s="2" t="s">
        <v>295</v>
      </c>
    </row>
    <row r="2" spans="1:97" x14ac:dyDescent="0.25">
      <c r="A2" s="26" t="s">
        <v>0</v>
      </c>
      <c r="B2" s="26" t="s">
        <v>92</v>
      </c>
      <c r="C2" s="26" t="s">
        <v>93</v>
      </c>
      <c r="D2" s="26" t="s">
        <v>2</v>
      </c>
      <c r="E2" s="26" t="s">
        <v>3</v>
      </c>
      <c r="F2" s="26" t="s">
        <v>4</v>
      </c>
      <c r="G2" s="26" t="s">
        <v>94</v>
      </c>
      <c r="H2" s="11">
        <v>1</v>
      </c>
      <c r="I2" s="11">
        <v>2</v>
      </c>
      <c r="J2" s="11">
        <v>3</v>
      </c>
      <c r="K2" s="11">
        <v>4</v>
      </c>
      <c r="L2" s="11">
        <v>5</v>
      </c>
      <c r="M2" s="11">
        <v>6</v>
      </c>
      <c r="N2" s="11">
        <v>7</v>
      </c>
      <c r="O2" s="11">
        <v>8</v>
      </c>
      <c r="P2" s="11">
        <v>9</v>
      </c>
      <c r="Q2" s="11">
        <v>10</v>
      </c>
      <c r="R2" s="11">
        <v>11</v>
      </c>
      <c r="S2" s="11">
        <v>12</v>
      </c>
      <c r="T2" s="11">
        <v>13</v>
      </c>
      <c r="U2" s="11">
        <v>14</v>
      </c>
      <c r="V2" s="11">
        <v>15</v>
      </c>
      <c r="W2" s="11">
        <v>16</v>
      </c>
      <c r="X2" s="11">
        <v>17</v>
      </c>
      <c r="Y2" s="11">
        <v>18</v>
      </c>
      <c r="Z2" s="11">
        <v>19</v>
      </c>
      <c r="AA2" s="11">
        <v>20</v>
      </c>
      <c r="AB2" s="11">
        <v>21</v>
      </c>
      <c r="AC2" s="11">
        <v>22</v>
      </c>
      <c r="AD2" s="11">
        <v>23</v>
      </c>
      <c r="AE2" s="11">
        <v>24</v>
      </c>
      <c r="AF2" s="11">
        <v>25</v>
      </c>
      <c r="AG2" s="11">
        <v>26</v>
      </c>
      <c r="AH2" s="11">
        <v>27</v>
      </c>
      <c r="AI2" s="11">
        <v>28</v>
      </c>
      <c r="AJ2" s="11">
        <v>29</v>
      </c>
      <c r="AK2" s="11">
        <v>30</v>
      </c>
      <c r="AL2" s="10" t="s">
        <v>121</v>
      </c>
      <c r="AM2" s="2" t="s">
        <v>148</v>
      </c>
      <c r="AN2" s="26" t="s">
        <v>295</v>
      </c>
    </row>
    <row r="3" spans="1:97" x14ac:dyDescent="0.25">
      <c r="A3" t="s">
        <v>36</v>
      </c>
      <c r="B3" t="s">
        <v>37</v>
      </c>
      <c r="C3">
        <v>150360</v>
      </c>
      <c r="D3" t="s">
        <v>38</v>
      </c>
      <c r="E3" t="s">
        <v>37</v>
      </c>
      <c r="F3" t="s">
        <v>24</v>
      </c>
      <c r="G3" t="s">
        <v>28</v>
      </c>
      <c r="H3" s="1">
        <f>VLOOKUP($A3,'BASE PAN - OPEX'!$A$3:$F$22,6,FALSE)</f>
        <v>4935465.3117000004</v>
      </c>
      <c r="I3" s="1">
        <f>VLOOKUP($A3,'BASE PAN - OPEX'!$A$3:$J$22,10,FALSE)</f>
        <v>4940660.2350000003</v>
      </c>
      <c r="J3" s="1">
        <f>VLOOKUP($A3,'BASE PAN - OPEX'!$A$3:$N$22,14,FALSE)</f>
        <v>4944732.0165999997</v>
      </c>
      <c r="K3" s="1">
        <f>VLOOKUP($A3,'BASE PAN - OPEX'!$A$3:$R$22,18,FALSE)</f>
        <v>4948261.2887000004</v>
      </c>
      <c r="L3" s="1">
        <f>VLOOKUP($A3,'BASE PAN - OPEX'!$A$3:$U$22,21,FALSE)</f>
        <v>4951466.5619999999</v>
      </c>
      <c r="M3" s="1">
        <f>VLOOKUP($A3,'BASE PAN - OPEX'!$A$3:$X$22,24,FALSE)</f>
        <v>4954445.7895999998</v>
      </c>
      <c r="N3" s="1">
        <f>VLOOKUP($A3,'BASE PAN - OPEX'!$A$3:$AA$22,27,FALSE)</f>
        <v>4957145.7795000002</v>
      </c>
      <c r="O3" s="1">
        <f>VLOOKUP($A3,'BASE PAN - OPEX'!$A$3:$AD$22,30,FALSE)</f>
        <v>4959573.9343999997</v>
      </c>
      <c r="P3" s="1">
        <f>VLOOKUP($A3,'BASE PAN - OPEX'!$A$3:$AG$22,33,FALSE)</f>
        <v>4961783.9292000001</v>
      </c>
      <c r="Q3" s="1">
        <f>VLOOKUP($A3,'BASE PAN - OPEX'!$A$3:$AJ$22,36,FALSE)</f>
        <v>4963943.9210999999</v>
      </c>
      <c r="R3" s="1">
        <f>VLOOKUP($A3,'BASE PAN - OPEX'!$A$3:$AM$22,39,FALSE)</f>
        <v>4966061.6635999996</v>
      </c>
      <c r="S3" s="1">
        <f>VLOOKUP($A3,'BASE PAN - OPEX'!$A$3:$AP$22,42,FALSE)</f>
        <v>4968234.6617000001</v>
      </c>
      <c r="T3" s="1">
        <f>VLOOKUP($A3,'BASE PAN - OPEX'!$A$3:$AS$22,45,FALSE)</f>
        <v>4970319.3049999997</v>
      </c>
      <c r="U3" s="1">
        <f>VLOOKUP($A3,'BASE PAN - OPEX'!$A$3:$AV$22,48,FALSE)</f>
        <v>4972427.0010000002</v>
      </c>
      <c r="V3" s="1">
        <f>VLOOKUP($A3,'BASE PAN - OPEX'!$A$3:$AY$22,51,FALSE)</f>
        <v>4974506.6211000001</v>
      </c>
      <c r="W3" s="1">
        <f>VLOOKUP($A3,'BASE PAN - OPEX'!$A$3:$BB$22,54,FALSE)</f>
        <v>4976649.4797999999</v>
      </c>
      <c r="X3" s="1">
        <f>VLOOKUP($A3,'BASE PAN - OPEX'!$A$3:$BE$22,57,FALSE)</f>
        <v>4978799.8733000001</v>
      </c>
      <c r="Y3" s="1">
        <f>VLOOKUP($A3,'BASE PAN - OPEX'!$A$3:$BH$22,60,FALSE)</f>
        <v>4980967.4000000004</v>
      </c>
      <c r="Z3" s="1">
        <f>VLOOKUP($A3,'BASE PAN - OPEX'!$A$3:$BK$22,63,FALSE)</f>
        <v>4983034.9101999998</v>
      </c>
      <c r="AA3" s="1">
        <f>VLOOKUP($A3,'BASE PAN - OPEX'!$A$3:$BN$22,66,FALSE)</f>
        <v>4985112.0186000001</v>
      </c>
      <c r="AB3" s="1">
        <f>VLOOKUP($A3,'BASE PAN - OPEX'!$A$3:$BQ$22,69,FALSE)</f>
        <v>4987139.3428999996</v>
      </c>
      <c r="AC3" s="1">
        <f>VLOOKUP($A3,'BASE PAN - OPEX'!$A$3:$BT$22,72,FALSE)</f>
        <v>4989087.3305000002</v>
      </c>
      <c r="AD3" s="1">
        <f>VLOOKUP($A3,'BASE PAN - OPEX'!$A$3:$BW$22,75,FALSE)</f>
        <v>4990972.67</v>
      </c>
      <c r="AE3" s="1">
        <f>VLOOKUP($A3,'BASE PAN - OPEX'!$A$3:$BZ$22,78,FALSE)</f>
        <v>4992839.2506999997</v>
      </c>
      <c r="AF3" s="1">
        <f>VLOOKUP($A3,'BASE PAN - OPEX'!$A$3:$CC$22,81,FALSE)</f>
        <v>4994579.8022999996</v>
      </c>
      <c r="AG3" s="1">
        <f>VLOOKUP($A3,'BASE PAN - OPEX'!$A$3:$CF$22,84,FALSE)</f>
        <v>4996302.7725</v>
      </c>
      <c r="AH3" s="1">
        <f>VLOOKUP($A3,'BASE PAN - OPEX'!$A$3:$CI$22,87,FALSE)</f>
        <v>4998071.4000000004</v>
      </c>
      <c r="AI3" s="1">
        <f>VLOOKUP($A3,'BASE PAN - OPEX'!$A$3:$CL$22,90,FALSE)</f>
        <v>4999869.7188999997</v>
      </c>
      <c r="AJ3" s="1">
        <f>VLOOKUP($A3,'BASE PAN - OPEX'!$A$3:$CO$22,93,FALSE)</f>
        <v>5004707.4447222212</v>
      </c>
      <c r="AK3" s="1">
        <f>VLOOKUP($A3,'BASE PAN - OPEX'!$A$3:$CR$22,96,FALSE)</f>
        <v>5006429.1362468265</v>
      </c>
      <c r="AL3" s="1">
        <f>SUM(H3:AK3)</f>
        <v>149233590.57086906</v>
      </c>
      <c r="AM3" s="1">
        <f t="shared" ref="AM3:AM21" si="0">SUM(H3:V3)</f>
        <v>74369028.020199984</v>
      </c>
      <c r="AN3" s="3">
        <f>VLOOKUP($A3,'BASE PAN - CAPEX'!$A$3:$H$22,8,FALSE)</f>
        <v>3</v>
      </c>
    </row>
    <row r="4" spans="1:97" x14ac:dyDescent="0.25">
      <c r="A4" t="s">
        <v>39</v>
      </c>
      <c r="B4" t="s">
        <v>40</v>
      </c>
      <c r="C4">
        <v>291930</v>
      </c>
      <c r="D4" t="s">
        <v>41</v>
      </c>
      <c r="E4" t="s">
        <v>42</v>
      </c>
      <c r="F4" t="s">
        <v>34</v>
      </c>
      <c r="G4" t="s">
        <v>28</v>
      </c>
      <c r="H4" s="1">
        <f>VLOOKUP($A4,'BASE PAN - OPEX'!$A$3:$F$22,6,FALSE)</f>
        <v>3307652.6872999999</v>
      </c>
      <c r="I4" s="1">
        <f>VLOOKUP($A4,'BASE PAN - OPEX'!$A$3:$J$22,10,FALSE)</f>
        <v>3312684.3553999998</v>
      </c>
      <c r="J4" s="1">
        <f>VLOOKUP($A4,'BASE PAN - OPEX'!$A$3:$N$22,14,FALSE)</f>
        <v>3316954.5548999999</v>
      </c>
      <c r="K4" s="1">
        <f>VLOOKUP($A4,'BASE PAN - OPEX'!$A$3:$R$22,18,FALSE)</f>
        <v>3320863.0814</v>
      </c>
      <c r="L4" s="1">
        <f>VLOOKUP($A4,'BASE PAN - OPEX'!$A$3:$U$22,21,FALSE)</f>
        <v>3324565.6551000001</v>
      </c>
      <c r="M4" s="1">
        <f>VLOOKUP($A4,'BASE PAN - OPEX'!$A$3:$X$22,24,FALSE)</f>
        <v>3328161.7126000002</v>
      </c>
      <c r="N4" s="1">
        <f>VLOOKUP($A4,'BASE PAN - OPEX'!$A$3:$AA$22,27,FALSE)</f>
        <v>3331559.7028999999</v>
      </c>
      <c r="O4" s="1">
        <f>VLOOKUP($A4,'BASE PAN - OPEX'!$A$3:$AD$22,30,FALSE)</f>
        <v>3334664.5115</v>
      </c>
      <c r="P4" s="1">
        <f>VLOOKUP($A4,'BASE PAN - OPEX'!$A$3:$AG$22,33,FALSE)</f>
        <v>3337575.9254000001</v>
      </c>
      <c r="Q4" s="1">
        <f>VLOOKUP($A4,'BASE PAN - OPEX'!$A$3:$AJ$22,36,FALSE)</f>
        <v>3340474.7812999999</v>
      </c>
      <c r="R4" s="1">
        <f>VLOOKUP($A4,'BASE PAN - OPEX'!$A$3:$AM$22,39,FALSE)</f>
        <v>3343353.0959999999</v>
      </c>
      <c r="S4" s="1">
        <f>VLOOKUP($A4,'BASE PAN - OPEX'!$A$3:$AP$22,42,FALSE)</f>
        <v>3346309.7190999999</v>
      </c>
      <c r="T4" s="1">
        <f>VLOOKUP($A4,'BASE PAN - OPEX'!$A$3:$AS$22,45,FALSE)</f>
        <v>3349233.6910999999</v>
      </c>
      <c r="U4" s="1">
        <f>VLOOKUP($A4,'BASE PAN - OPEX'!$A$3:$AV$22,48,FALSE)</f>
        <v>3352200.3605999998</v>
      </c>
      <c r="V4" s="1">
        <f>VLOOKUP($A4,'BASE PAN - OPEX'!$A$3:$AY$22,51,FALSE)</f>
        <v>3355179.5882999999</v>
      </c>
      <c r="W4" s="1">
        <f>VLOOKUP($A4,'BASE PAN - OPEX'!$A$3:$BB$22,54,FALSE)</f>
        <v>3358250.7174999998</v>
      </c>
      <c r="X4" s="1">
        <f>VLOOKUP($A4,'BASE PAN - OPEX'!$A$3:$BE$22,57,FALSE)</f>
        <v>3361368.8135000002</v>
      </c>
      <c r="Y4" s="1">
        <f>VLOOKUP($A4,'BASE PAN - OPEX'!$A$3:$BH$22,60,FALSE)</f>
        <v>3364538.9240999999</v>
      </c>
      <c r="Z4" s="1">
        <f>VLOOKUP($A4,'BASE PAN - OPEX'!$A$3:$BK$22,63,FALSE)</f>
        <v>3367651.2675999999</v>
      </c>
      <c r="AA4" s="1">
        <f>VLOOKUP($A4,'BASE PAN - OPEX'!$A$3:$BN$22,66,FALSE)</f>
        <v>3370828.2355</v>
      </c>
      <c r="AB4" s="1">
        <f>VLOOKUP($A4,'BASE PAN - OPEX'!$A$3:$BQ$22,69,FALSE)</f>
        <v>3373978.2532000002</v>
      </c>
      <c r="AC4" s="1">
        <f>VLOOKUP($A4,'BASE PAN - OPEX'!$A$3:$BT$22,72,FALSE)</f>
        <v>3377183.5263999999</v>
      </c>
      <c r="AD4" s="1">
        <f>VLOOKUP($A4,'BASE PAN - OPEX'!$A$3:$BW$22,75,FALSE)</f>
        <v>3380413.9158999999</v>
      </c>
      <c r="AE4" s="1">
        <f>VLOOKUP($A4,'BASE PAN - OPEX'!$A$3:$BZ$22,78,FALSE)</f>
        <v>3383681.9797</v>
      </c>
      <c r="AF4" s="1">
        <f>VLOOKUP($A4,'BASE PAN - OPEX'!$A$3:$CC$22,81,FALSE)</f>
        <v>3386881.2015</v>
      </c>
      <c r="AG4" s="1">
        <f>VLOOKUP($A4,'BASE PAN - OPEX'!$A$3:$CF$22,84,FALSE)</f>
        <v>3390096.5211999998</v>
      </c>
      <c r="AH4" s="1">
        <f>VLOOKUP($A4,'BASE PAN - OPEX'!$A$3:$CI$22,87,FALSE)</f>
        <v>3393371.6716999998</v>
      </c>
      <c r="AI4" s="1">
        <f>VLOOKUP($A4,'BASE PAN - OPEX'!$A$3:$CL$22,90,FALSE)</f>
        <v>3396722.6187999998</v>
      </c>
      <c r="AJ4" s="1">
        <f>VLOOKUP($A4,'BASE PAN - OPEX'!$A$3:$CO$22,93,FALSE)</f>
        <v>3399679.5651269834</v>
      </c>
      <c r="AK4" s="1">
        <f>VLOOKUP($A4,'BASE PAN - OPEX'!$A$3:$CR$22,96,FALSE)</f>
        <v>3402571.2950935373</v>
      </c>
      <c r="AL4" s="1">
        <f t="shared" ref="AL4:AL21" si="1">SUM(H4:AK4)</f>
        <v>100708651.92972052</v>
      </c>
      <c r="AM4" s="1">
        <f t="shared" si="0"/>
        <v>50001433.422899999</v>
      </c>
      <c r="AN4" s="3">
        <f>VLOOKUP($A4,'BASE PAN - CAPEX'!$A$3:$H$22,8,FALSE)</f>
        <v>3</v>
      </c>
    </row>
    <row r="5" spans="1:97" x14ac:dyDescent="0.25">
      <c r="A5" t="s">
        <v>43</v>
      </c>
      <c r="B5" t="s">
        <v>44</v>
      </c>
      <c r="C5">
        <v>130040</v>
      </c>
      <c r="D5" t="s">
        <v>45</v>
      </c>
      <c r="E5" t="s">
        <v>44</v>
      </c>
      <c r="F5" t="s">
        <v>30</v>
      </c>
      <c r="G5" t="s">
        <v>28</v>
      </c>
      <c r="H5" s="1">
        <f>VLOOKUP($A5,'BASE PAN - OPEX'!$A$3:$F$22,6,FALSE)</f>
        <v>1990788.3278000001</v>
      </c>
      <c r="I5" s="1">
        <f>VLOOKUP($A5,'BASE PAN - OPEX'!$A$3:$J$22,10,FALSE)</f>
        <v>1991114.6184</v>
      </c>
      <c r="J5" s="1">
        <f>VLOOKUP($A5,'BASE PAN - OPEX'!$A$3:$N$22,14,FALSE)</f>
        <v>1991383.7620000001</v>
      </c>
      <c r="K5" s="1">
        <f>VLOOKUP($A5,'BASE PAN - OPEX'!$A$3:$R$22,18,FALSE)</f>
        <v>1991632.5125</v>
      </c>
      <c r="L5" s="1">
        <f>VLOOKUP($A5,'BASE PAN - OPEX'!$A$3:$U$22,21,FALSE)</f>
        <v>1991861.9356</v>
      </c>
      <c r="M5" s="1">
        <f>VLOOKUP($A5,'BASE PAN - OPEX'!$A$3:$X$22,24,FALSE)</f>
        <v>1992082.6454</v>
      </c>
      <c r="N5" s="1">
        <f>VLOOKUP($A5,'BASE PAN - OPEX'!$A$3:$AA$22,27,FALSE)</f>
        <v>1992281.4787999999</v>
      </c>
      <c r="O5" s="1">
        <f>VLOOKUP($A5,'BASE PAN - OPEX'!$A$3:$AD$22,30,FALSE)</f>
        <v>1992466.5005999999</v>
      </c>
      <c r="P5" s="1">
        <f>VLOOKUP($A5,'BASE PAN - OPEX'!$A$3:$AG$22,33,FALSE)</f>
        <v>1992637.2933</v>
      </c>
      <c r="Q5" s="1">
        <f>VLOOKUP($A5,'BASE PAN - OPEX'!$A$3:$AJ$22,36,FALSE)</f>
        <v>1992805.5368999999</v>
      </c>
      <c r="R5" s="1">
        <f>VLOOKUP($A5,'BASE PAN - OPEX'!$A$3:$AM$22,39,FALSE)</f>
        <v>1992972.7146999999</v>
      </c>
      <c r="S5" s="1">
        <f>VLOOKUP($A5,'BASE PAN - OPEX'!$A$3:$AP$22,42,FALSE)</f>
        <v>1993140.9583000001</v>
      </c>
      <c r="T5" s="1">
        <f>VLOOKUP($A5,'BASE PAN - OPEX'!$A$3:$AS$22,45,FALSE)</f>
        <v>1993310.6853</v>
      </c>
      <c r="U5" s="1">
        <f>VLOOKUP($A5,'BASE PAN - OPEX'!$A$3:$AV$22,48,FALSE)</f>
        <v>1993478.9288999999</v>
      </c>
      <c r="V5" s="1">
        <f>VLOOKUP($A5,'BASE PAN - OPEX'!$A$3:$AY$22,51,FALSE)</f>
        <v>1993642.0741999999</v>
      </c>
      <c r="W5" s="1">
        <f>VLOOKUP($A5,'BASE PAN - OPEX'!$A$3:$BB$22,54,FALSE)</f>
        <v>1993814.3503</v>
      </c>
      <c r="X5" s="1">
        <f>VLOOKUP($A5,'BASE PAN - OPEX'!$A$3:$BE$22,57,FALSE)</f>
        <v>1993985.1429999999</v>
      </c>
      <c r="Y5" s="1">
        <f>VLOOKUP($A5,'BASE PAN - OPEX'!$A$3:$BH$22,60,FALSE)</f>
        <v>1994162.5174</v>
      </c>
      <c r="Z5" s="1">
        <f>VLOOKUP($A5,'BASE PAN - OPEX'!$A$3:$BK$22,63,FALSE)</f>
        <v>1994325.6627</v>
      </c>
      <c r="AA5" s="1">
        <f>VLOOKUP($A5,'BASE PAN - OPEX'!$A$3:$BN$22,66,FALSE)</f>
        <v>1994491.3570999999</v>
      </c>
      <c r="AB5" s="1">
        <f>VLOOKUP($A5,'BASE PAN - OPEX'!$A$3:$BQ$22,69,FALSE)</f>
        <v>1994655.9857999999</v>
      </c>
      <c r="AC5" s="1">
        <f>VLOOKUP($A5,'BASE PAN - OPEX'!$A$3:$BT$22,72,FALSE)</f>
        <v>1994811.4837</v>
      </c>
      <c r="AD5" s="1">
        <f>VLOOKUP($A5,'BASE PAN - OPEX'!$A$3:$BW$22,75,FALSE)</f>
        <v>1994959.3341000001</v>
      </c>
      <c r="AE5" s="1">
        <f>VLOOKUP($A5,'BASE PAN - OPEX'!$A$3:$BZ$22,78,FALSE)</f>
        <v>1995108.6679</v>
      </c>
      <c r="AF5" s="1">
        <f>VLOOKUP($A5,'BASE PAN - OPEX'!$A$3:$CC$22,81,FALSE)</f>
        <v>1995248.8709</v>
      </c>
      <c r="AG5" s="1">
        <f>VLOOKUP($A5,'BASE PAN - OPEX'!$A$3:$CF$22,84,FALSE)</f>
        <v>1995386.5247</v>
      </c>
      <c r="AH5" s="1">
        <f>VLOOKUP($A5,'BASE PAN - OPEX'!$A$3:$CI$22,87,FALSE)</f>
        <v>1995525.6618999999</v>
      </c>
      <c r="AI5" s="1">
        <f>VLOOKUP($A5,'BASE PAN - OPEX'!$A$3:$CL$22,90,FALSE)</f>
        <v>1995665.8648999999</v>
      </c>
      <c r="AJ5" s="1">
        <f>VLOOKUP($A5,'BASE PAN - OPEX'!$A$3:$CO$22,93,FALSE)</f>
        <v>1996011.7212341267</v>
      </c>
      <c r="AK5" s="1">
        <f>VLOOKUP($A5,'BASE PAN - OPEX'!$A$3:$CR$22,96,FALSE)</f>
        <v>1996157.378877891</v>
      </c>
      <c r="AL5" s="1">
        <f t="shared" si="1"/>
        <v>59809910.497212015</v>
      </c>
      <c r="AM5" s="1">
        <f t="shared" si="0"/>
        <v>29885599.9727</v>
      </c>
      <c r="AN5" s="3">
        <f>VLOOKUP($A5,'BASE PAN - CAPEX'!$A$3:$H$22,8,FALSE)</f>
        <v>1</v>
      </c>
    </row>
    <row r="6" spans="1:97" x14ac:dyDescent="0.25">
      <c r="A6" t="s">
        <v>47</v>
      </c>
      <c r="B6" t="s">
        <v>48</v>
      </c>
      <c r="C6">
        <v>130190</v>
      </c>
      <c r="D6" t="s">
        <v>49</v>
      </c>
      <c r="E6" t="s">
        <v>48</v>
      </c>
      <c r="F6" t="s">
        <v>30</v>
      </c>
      <c r="G6" t="s">
        <v>28</v>
      </c>
      <c r="H6" s="1">
        <f>VLOOKUP($A6,'BASE PAN - OPEX'!$A$3:$F$22,6,FALSE)</f>
        <v>4209047.5903000003</v>
      </c>
      <c r="I6" s="1">
        <f>VLOOKUP($A6,'BASE PAN - OPEX'!$A$3:$J$22,10,FALSE)</f>
        <v>4232615.8482999997</v>
      </c>
      <c r="J6" s="1">
        <f>VLOOKUP($A6,'BASE PAN - OPEX'!$A$3:$N$22,14,FALSE)</f>
        <v>4248102.7019999996</v>
      </c>
      <c r="K6" s="1">
        <f>VLOOKUP($A6,'BASE PAN - OPEX'!$A$3:$R$22,18,FALSE)</f>
        <v>4260627.3221000005</v>
      </c>
      <c r="L6" s="1">
        <f>VLOOKUP($A6,'BASE PAN - OPEX'!$A$3:$U$22,21,FALSE)</f>
        <v>4271077.1986999996</v>
      </c>
      <c r="M6" s="1">
        <f>VLOOKUP($A6,'BASE PAN - OPEX'!$A$3:$X$22,24,FALSE)</f>
        <v>4282057.3976999996</v>
      </c>
      <c r="N6" s="1">
        <f>VLOOKUP($A6,'BASE PAN - OPEX'!$A$3:$AA$22,27,FALSE)</f>
        <v>4291571.5974000003</v>
      </c>
      <c r="O6" s="1">
        <f>VLOOKUP($A6,'BASE PAN - OPEX'!$A$3:$AD$22,30,FALSE)</f>
        <v>4301425.5741999997</v>
      </c>
      <c r="P6" s="1">
        <f>VLOOKUP($A6,'BASE PAN - OPEX'!$A$3:$AG$22,33,FALSE)</f>
        <v>4309728.6383999996</v>
      </c>
      <c r="Q6" s="1">
        <f>VLOOKUP($A6,'BASE PAN - OPEX'!$A$3:$AJ$22,36,FALSE)</f>
        <v>4319028.8217000002</v>
      </c>
      <c r="R6" s="1">
        <f>VLOOKUP($A6,'BASE PAN - OPEX'!$A$3:$AM$22,39,FALSE)</f>
        <v>4327228.0766000003</v>
      </c>
      <c r="S6" s="1">
        <f>VLOOKUP($A6,'BASE PAN - OPEX'!$A$3:$AP$22,42,FALSE)</f>
        <v>4336929.5006999997</v>
      </c>
      <c r="T6" s="1">
        <f>VLOOKUP($A6,'BASE PAN - OPEX'!$A$3:$AS$22,45,FALSE)</f>
        <v>4345256.6787</v>
      </c>
      <c r="U6" s="1">
        <f>VLOOKUP($A6,'BASE PAN - OPEX'!$A$3:$AV$22,48,FALSE)</f>
        <v>4354900.2150999997</v>
      </c>
      <c r="V6" s="1">
        <f>VLOOKUP($A6,'BASE PAN - OPEX'!$A$3:$AY$22,51,FALSE)</f>
        <v>4363233.6112000002</v>
      </c>
      <c r="W6" s="1">
        <f>VLOOKUP($A6,'BASE PAN - OPEX'!$A$3:$BB$22,54,FALSE)</f>
        <v>4373206.1475999998</v>
      </c>
      <c r="X6" s="1">
        <f>VLOOKUP($A6,'BASE PAN - OPEX'!$A$3:$BE$22,57,FALSE)</f>
        <v>4381505.5751</v>
      </c>
      <c r="Y6" s="1">
        <f>VLOOKUP($A6,'BASE PAN - OPEX'!$A$3:$BH$22,60,FALSE)</f>
        <v>4391519.2489</v>
      </c>
      <c r="Z6" s="1">
        <f>VLOOKUP($A6,'BASE PAN - OPEX'!$A$3:$BK$22,63,FALSE)</f>
        <v>4400121.4844000004</v>
      </c>
      <c r="AA6" s="1">
        <f>VLOOKUP($A6,'BASE PAN - OPEX'!$A$3:$BN$22,66,FALSE)</f>
        <v>4410225.7812000001</v>
      </c>
      <c r="AB6" s="1">
        <f>VLOOKUP($A6,'BASE PAN - OPEX'!$A$3:$BQ$22,69,FALSE)</f>
        <v>4419109.3132999996</v>
      </c>
      <c r="AC6" s="1">
        <f>VLOOKUP($A6,'BASE PAN - OPEX'!$A$3:$BT$22,72,FALSE)</f>
        <v>4428244.5530000003</v>
      </c>
      <c r="AD6" s="1">
        <f>VLOOKUP($A6,'BASE PAN - OPEX'!$A$3:$BW$22,75,FALSE)</f>
        <v>4436080.1073000003</v>
      </c>
      <c r="AE6" s="1">
        <f>VLOOKUP($A6,'BASE PAN - OPEX'!$A$3:$BZ$22,78,FALSE)</f>
        <v>4445587.6944000004</v>
      </c>
      <c r="AF6" s="1">
        <f>VLOOKUP($A6,'BASE PAN - OPEX'!$A$3:$CC$22,81,FALSE)</f>
        <v>4453253.4855000004</v>
      </c>
      <c r="AG6" s="1">
        <f>VLOOKUP($A6,'BASE PAN - OPEX'!$A$3:$CF$22,84,FALSE)</f>
        <v>4462547.4822000004</v>
      </c>
      <c r="AH6" s="1">
        <f>VLOOKUP($A6,'BASE PAN - OPEX'!$A$3:$CI$22,87,FALSE)</f>
        <v>4472033.5159999998</v>
      </c>
      <c r="AI6" s="1">
        <f>VLOOKUP($A6,'BASE PAN - OPEX'!$A$3:$CL$22,90,FALSE)</f>
        <v>4481715.5212000003</v>
      </c>
      <c r="AJ6" s="1">
        <f>VLOOKUP($A6,'BASE PAN - OPEX'!$A$3:$CO$22,93,FALSE)</f>
        <v>4494091.8757595234</v>
      </c>
      <c r="AK6" s="1">
        <f>VLOOKUP($A6,'BASE PAN - OPEX'!$A$3:$CR$22,96,FALSE)</f>
        <v>4501839.0899140611</v>
      </c>
      <c r="AL6" s="1">
        <f t="shared" si="1"/>
        <v>131003911.6488736</v>
      </c>
      <c r="AM6" s="1">
        <f t="shared" si="0"/>
        <v>64452830.773099996</v>
      </c>
      <c r="AN6" s="3">
        <f>VLOOKUP($A6,'BASE PAN - CAPEX'!$A$3:$H$22,8,FALSE)</f>
        <v>3</v>
      </c>
    </row>
    <row r="7" spans="1:97" x14ac:dyDescent="0.25">
      <c r="A7" t="s">
        <v>50</v>
      </c>
      <c r="B7" t="s">
        <v>95</v>
      </c>
      <c r="C7">
        <v>120060</v>
      </c>
      <c r="D7" t="s">
        <v>52</v>
      </c>
      <c r="E7" t="s">
        <v>51</v>
      </c>
      <c r="F7" t="s">
        <v>35</v>
      </c>
      <c r="G7" t="s">
        <v>28</v>
      </c>
      <c r="H7" s="1">
        <f>VLOOKUP($A7,'BASE PAN - OPEX'!$A$3:$F$22,6,FALSE)</f>
        <v>2034664.0327999999</v>
      </c>
      <c r="I7" s="1">
        <f>VLOOKUP($A7,'BASE PAN - OPEX'!$A$3:$J$22,10,FALSE)</f>
        <v>2035808.0601999999</v>
      </c>
      <c r="J7" s="1">
        <f>VLOOKUP($A7,'BASE PAN - OPEX'!$A$3:$N$22,14,FALSE)</f>
        <v>2036798.0057999999</v>
      </c>
      <c r="K7" s="1">
        <f>VLOOKUP($A7,'BASE PAN - OPEX'!$A$3:$R$22,18,FALSE)</f>
        <v>2037769.4006000001</v>
      </c>
      <c r="L7" s="1">
        <f>VLOOKUP($A7,'BASE PAN - OPEX'!$A$3:$U$22,21,FALSE)</f>
        <v>2038676.2209999999</v>
      </c>
      <c r="M7" s="1">
        <f>VLOOKUP($A7,'BASE PAN - OPEX'!$A$3:$X$22,24,FALSE)</f>
        <v>2039554.4029999999</v>
      </c>
      <c r="N7" s="1">
        <f>VLOOKUP($A7,'BASE PAN - OPEX'!$A$3:$AA$22,27,FALSE)</f>
        <v>2040422.7031</v>
      </c>
      <c r="O7" s="1">
        <f>VLOOKUP($A7,'BASE PAN - OPEX'!$A$3:$AD$22,30,FALSE)</f>
        <v>2041231.2845999999</v>
      </c>
      <c r="P7" s="1">
        <f>VLOOKUP($A7,'BASE PAN - OPEX'!$A$3:$AG$22,33,FALSE)</f>
        <v>2041954.2219</v>
      </c>
      <c r="Q7" s="1">
        <f>VLOOKUP($A7,'BASE PAN - OPEX'!$A$3:$AJ$22,36,FALSE)</f>
        <v>2042737.6140000001</v>
      </c>
      <c r="R7" s="1">
        <f>VLOOKUP($A7,'BASE PAN - OPEX'!$A$3:$AM$22,39,FALSE)</f>
        <v>2043500.8544999999</v>
      </c>
      <c r="S7" s="1">
        <f>VLOOKUP($A7,'BASE PAN - OPEX'!$A$3:$AP$22,42,FALSE)</f>
        <v>2044272.0778999999</v>
      </c>
      <c r="T7" s="1">
        <f>VLOOKUP($A7,'BASE PAN - OPEX'!$A$3:$AS$22,45,FALSE)</f>
        <v>2045037.8374000001</v>
      </c>
      <c r="U7" s="1">
        <f>VLOOKUP($A7,'BASE PAN - OPEX'!$A$3:$AV$22,48,FALSE)</f>
        <v>2045846.4188999999</v>
      </c>
      <c r="V7" s="1">
        <f>VLOOKUP($A7,'BASE PAN - OPEX'!$A$3:$AY$22,51,FALSE)</f>
        <v>2046670.1140999999</v>
      </c>
      <c r="W7" s="1">
        <f>VLOOKUP($A7,'BASE PAN - OPEX'!$A$3:$BB$22,54,FALSE)</f>
        <v>2047488.7714</v>
      </c>
      <c r="X7" s="1">
        <f>VLOOKUP($A7,'BASE PAN - OPEX'!$A$3:$BE$22,57,FALSE)</f>
        <v>2048320.0234000001</v>
      </c>
      <c r="Y7" s="1">
        <f>VLOOKUP($A7,'BASE PAN - OPEX'!$A$3:$BH$22,60,FALSE)</f>
        <v>2049202.0804999999</v>
      </c>
      <c r="Z7" s="1">
        <f>VLOOKUP($A7,'BASE PAN - OPEX'!$A$3:$BK$22,63,FALSE)</f>
        <v>2050056.003</v>
      </c>
      <c r="AA7" s="1">
        <f>VLOOKUP($A7,'BASE PAN - OPEX'!$A$3:$BN$22,66,FALSE)</f>
        <v>2050884.7361000001</v>
      </c>
      <c r="AB7" s="1">
        <f>VLOOKUP($A7,'BASE PAN - OPEX'!$A$3:$BQ$22,69,FALSE)</f>
        <v>2051751.2533</v>
      </c>
      <c r="AC7" s="1">
        <f>VLOOKUP($A7,'BASE PAN - OPEX'!$A$3:$BT$22,72,FALSE)</f>
        <v>2052532.1264</v>
      </c>
      <c r="AD7" s="1">
        <f>VLOOKUP($A7,'BASE PAN - OPEX'!$A$3:$BW$22,75,FALSE)</f>
        <v>2053352.3726999999</v>
      </c>
      <c r="AE7" s="1">
        <f>VLOOKUP($A7,'BASE PAN - OPEX'!$A$3:$BZ$22,78,FALSE)</f>
        <v>2054115.6132</v>
      </c>
      <c r="AF7" s="1">
        <f>VLOOKUP($A7,'BASE PAN - OPEX'!$A$3:$CC$22,81,FALSE)</f>
        <v>2054856.1832000001</v>
      </c>
      <c r="AG7" s="1">
        <f>VLOOKUP($A7,'BASE PAN - OPEX'!$A$3:$CF$22,84,FALSE)</f>
        <v>2055604.31</v>
      </c>
      <c r="AH7" s="1">
        <f>VLOOKUP($A7,'BASE PAN - OPEX'!$A$3:$CI$22,87,FALSE)</f>
        <v>2056367.5504999999</v>
      </c>
      <c r="AI7" s="1">
        <f>VLOOKUP($A7,'BASE PAN - OPEX'!$A$3:$CL$22,90,FALSE)</f>
        <v>2057143.3857</v>
      </c>
      <c r="AJ7" s="1">
        <f>VLOOKUP($A7,'BASE PAN - OPEX'!$A$3:$CO$22,93,FALSE)</f>
        <v>2058176.9721944449</v>
      </c>
      <c r="AK7" s="1">
        <f>VLOOKUP($A7,'BASE PAN - OPEX'!$A$3:$CR$22,96,FALSE)</f>
        <v>2058948.4655936514</v>
      </c>
      <c r="AL7" s="1">
        <f t="shared" si="1"/>
        <v>61413743.096988112</v>
      </c>
      <c r="AM7" s="1">
        <f t="shared" si="0"/>
        <v>30614943.249800004</v>
      </c>
      <c r="AN7" s="3">
        <f>VLOOKUP($A7,'BASE PAN - CAPEX'!$A$3:$H$22,8,FALSE)</f>
        <v>1</v>
      </c>
    </row>
    <row r="8" spans="1:97" x14ac:dyDescent="0.25">
      <c r="A8" t="s">
        <v>53</v>
      </c>
      <c r="B8" t="s">
        <v>54</v>
      </c>
      <c r="C8">
        <v>292400</v>
      </c>
      <c r="D8" t="s">
        <v>55</v>
      </c>
      <c r="E8" t="s">
        <v>54</v>
      </c>
      <c r="F8" t="s">
        <v>34</v>
      </c>
      <c r="G8" t="s">
        <v>28</v>
      </c>
      <c r="H8" s="1">
        <f>VLOOKUP($A8,'BASE PAN - OPEX'!$A$3:$F$22,6,FALSE)</f>
        <v>2627092.7963999999</v>
      </c>
      <c r="I8" s="1">
        <f>VLOOKUP($A8,'BASE PAN - OPEX'!$A$3:$J$22,10,FALSE)</f>
        <v>2628581.4931999999</v>
      </c>
      <c r="J8" s="1">
        <f>VLOOKUP($A8,'BASE PAN - OPEX'!$A$3:$N$22,14,FALSE)</f>
        <v>2629926.6101000002</v>
      </c>
      <c r="K8" s="1">
        <f>VLOOKUP($A8,'BASE PAN - OPEX'!$A$3:$R$22,18,FALSE)</f>
        <v>2631231.85</v>
      </c>
      <c r="L8" s="1">
        <f>VLOOKUP($A8,'BASE PAN - OPEX'!$A$3:$U$22,21,FALSE)</f>
        <v>2632491.3228000002</v>
      </c>
      <c r="M8" s="1">
        <f>VLOOKUP($A8,'BASE PAN - OPEX'!$A$3:$X$22,24,FALSE)</f>
        <v>2633745.7576000001</v>
      </c>
      <c r="N8" s="1">
        <f>VLOOKUP($A8,'BASE PAN - OPEX'!$A$3:$AA$22,27,FALSE)</f>
        <v>2634954.8514999999</v>
      </c>
      <c r="O8" s="1">
        <f>VLOOKUP($A8,'BASE PAN - OPEX'!$A$3:$AD$22,30,FALSE)</f>
        <v>2636116.5115</v>
      </c>
      <c r="P8" s="1">
        <f>VLOOKUP($A8,'BASE PAN - OPEX'!$A$3:$AG$22,33,FALSE)</f>
        <v>2637229.8854</v>
      </c>
      <c r="Q8" s="1">
        <f>VLOOKUP($A8,'BASE PAN - OPEX'!$A$3:$AJ$22,36,FALSE)</f>
        <v>2638353.3350999998</v>
      </c>
      <c r="R8" s="1">
        <f>VLOOKUP($A8,'BASE PAN - OPEX'!$A$3:$AM$22,39,FALSE)</f>
        <v>2639495.5803</v>
      </c>
      <c r="S8" s="1">
        <f>VLOOKUP($A8,'BASE PAN - OPEX'!$A$3:$AP$22,42,FALSE)</f>
        <v>2640682.4298</v>
      </c>
      <c r="T8" s="1">
        <f>VLOOKUP($A8,'BASE PAN - OPEX'!$A$3:$AS$22,45,FALSE)</f>
        <v>2641856.2584000002</v>
      </c>
      <c r="U8" s="1">
        <f>VLOOKUP($A8,'BASE PAN - OPEX'!$A$3:$AV$22,48,FALSE)</f>
        <v>2643072.9090999998</v>
      </c>
      <c r="V8" s="1">
        <f>VLOOKUP($A8,'BASE PAN - OPEX'!$A$3:$AY$22,51,FALSE)</f>
        <v>2644311.6208000001</v>
      </c>
      <c r="W8" s="1">
        <f>VLOOKUP($A8,'BASE PAN - OPEX'!$A$3:$BB$22,54,FALSE)</f>
        <v>2645586.2072999999</v>
      </c>
      <c r="X8" s="1">
        <f>VLOOKUP($A8,'BASE PAN - OPEX'!$A$3:$BE$22,57,FALSE)</f>
        <v>2646888.5021000002</v>
      </c>
      <c r="Y8" s="1">
        <f>VLOOKUP($A8,'BASE PAN - OPEX'!$A$3:$BH$22,60,FALSE)</f>
        <v>2648228.5811000001</v>
      </c>
      <c r="Z8" s="1">
        <f>VLOOKUP($A8,'BASE PAN - OPEX'!$A$3:$BK$22,63,FALSE)</f>
        <v>2649564.0484000002</v>
      </c>
      <c r="AA8" s="1">
        <f>VLOOKUP($A8,'BASE PAN - OPEX'!$A$3:$BN$22,66,FALSE)</f>
        <v>2650931.8358</v>
      </c>
      <c r="AB8" s="1">
        <f>VLOOKUP($A8,'BASE PAN - OPEX'!$A$3:$BQ$22,69,FALSE)</f>
        <v>2652299.6231999998</v>
      </c>
      <c r="AC8" s="1">
        <f>VLOOKUP($A8,'BASE PAN - OPEX'!$A$3:$BT$22,72,FALSE)</f>
        <v>2653706.7837999999</v>
      </c>
      <c r="AD8" s="1">
        <f>VLOOKUP($A8,'BASE PAN - OPEX'!$A$3:$BW$22,75,FALSE)</f>
        <v>2655094.7228000001</v>
      </c>
      <c r="AE8" s="1">
        <f>VLOOKUP($A8,'BASE PAN - OPEX'!$A$3:$BZ$22,78,FALSE)</f>
        <v>2656507.8511999999</v>
      </c>
      <c r="AF8" s="1">
        <f>VLOOKUP($A8,'BASE PAN - OPEX'!$A$3:$CC$22,81,FALSE)</f>
        <v>2657908.8111</v>
      </c>
      <c r="AG8" s="1">
        <f>VLOOKUP($A8,'BASE PAN - OPEX'!$A$3:$CF$22,84,FALSE)</f>
        <v>2659324.4583999999</v>
      </c>
      <c r="AH8" s="1">
        <f>VLOOKUP($A8,'BASE PAN - OPEX'!$A$3:$CI$22,87,FALSE)</f>
        <v>2660775.3711000001</v>
      </c>
      <c r="AI8" s="1">
        <f>VLOOKUP($A8,'BASE PAN - OPEX'!$A$3:$CL$22,90,FALSE)</f>
        <v>2662288.3391999998</v>
      </c>
      <c r="AJ8" s="1">
        <f>VLOOKUP($A8,'BASE PAN - OPEX'!$A$3:$CO$22,93,FALSE)</f>
        <v>2662709.6909079365</v>
      </c>
      <c r="AK8" s="1">
        <f>VLOOKUP($A8,'BASE PAN - OPEX'!$A$3:$CR$22,96,FALSE)</f>
        <v>2663991.0722797052</v>
      </c>
      <c r="AL8" s="1">
        <f t="shared" si="1"/>
        <v>79364949.110687643</v>
      </c>
      <c r="AM8" s="1">
        <f t="shared" si="0"/>
        <v>39539143.211999997</v>
      </c>
      <c r="AN8" s="3">
        <f>VLOOKUP($A8,'BASE PAN - CAPEX'!$A$3:$H$22,8,FALSE)</f>
        <v>3</v>
      </c>
    </row>
    <row r="9" spans="1:97" x14ac:dyDescent="0.25">
      <c r="A9" t="s">
        <v>56</v>
      </c>
      <c r="B9" t="s">
        <v>96</v>
      </c>
      <c r="C9">
        <v>110030</v>
      </c>
      <c r="D9" t="s">
        <v>58</v>
      </c>
      <c r="E9" t="s">
        <v>57</v>
      </c>
      <c r="F9" t="s">
        <v>25</v>
      </c>
      <c r="G9" t="s">
        <v>28</v>
      </c>
      <c r="H9" s="1">
        <f>VLOOKUP($A9,'BASE PAN - OPEX'!$A$3:$F$22,6,FALSE)</f>
        <v>4329618.9031999996</v>
      </c>
      <c r="I9" s="1">
        <f>VLOOKUP($A9,'BASE PAN - OPEX'!$A$3:$J$22,10,FALSE)</f>
        <v>4333139.8969999999</v>
      </c>
      <c r="J9" s="1">
        <f>VLOOKUP($A9,'BASE PAN - OPEX'!$A$3:$N$22,14,FALSE)</f>
        <v>4336225.6052999999</v>
      </c>
      <c r="K9" s="1">
        <f>VLOOKUP($A9,'BASE PAN - OPEX'!$A$3:$R$22,18,FALSE)</f>
        <v>4339150.9539000001</v>
      </c>
      <c r="L9" s="1">
        <f>VLOOKUP($A9,'BASE PAN - OPEX'!$A$3:$U$22,21,FALSE)</f>
        <v>4341926.2224000003</v>
      </c>
      <c r="M9" s="1">
        <f>VLOOKUP($A9,'BASE PAN - OPEX'!$A$3:$X$22,24,FALSE)</f>
        <v>4344598.8234999999</v>
      </c>
      <c r="N9" s="1">
        <f>VLOOKUP($A9,'BASE PAN - OPEX'!$A$3:$AA$22,27,FALSE)</f>
        <v>4347123.2330999998</v>
      </c>
      <c r="O9" s="1">
        <f>VLOOKUP($A9,'BASE PAN - OPEX'!$A$3:$AD$22,30,FALSE)</f>
        <v>4349468.3713999996</v>
      </c>
      <c r="P9" s="1">
        <f>VLOOKUP($A9,'BASE PAN - OPEX'!$A$3:$AG$22,33,FALSE)</f>
        <v>4351704.2649999997</v>
      </c>
      <c r="Q9" s="1">
        <f>VLOOKUP($A9,'BASE PAN - OPEX'!$A$3:$AJ$22,36,FALSE)</f>
        <v>4353923.4560000002</v>
      </c>
      <c r="R9" s="1">
        <f>VLOOKUP($A9,'BASE PAN - OPEX'!$A$3:$AM$22,39,FALSE)</f>
        <v>4356138.0352999996</v>
      </c>
      <c r="S9" s="1">
        <f>VLOOKUP($A9,'BASE PAN - OPEX'!$A$3:$AP$22,42,FALSE)</f>
        <v>4358417.6809999999</v>
      </c>
      <c r="T9" s="1">
        <f>VLOOKUP($A9,'BASE PAN - OPEX'!$A$3:$AS$22,45,FALSE)</f>
        <v>4360675.0822999999</v>
      </c>
      <c r="U9" s="1">
        <f>VLOOKUP($A9,'BASE PAN - OPEX'!$A$3:$AV$22,48,FALSE)</f>
        <v>4362977.3985000001</v>
      </c>
      <c r="V9" s="1">
        <f>VLOOKUP($A9,'BASE PAN - OPEX'!$A$3:$AY$22,51,FALSE)</f>
        <v>4365293.8984000003</v>
      </c>
      <c r="W9" s="1">
        <f>VLOOKUP($A9,'BASE PAN - OPEX'!$A$3:$BB$22,54,FALSE)</f>
        <v>4367670.7473999998</v>
      </c>
      <c r="X9" s="1">
        <f>VLOOKUP($A9,'BASE PAN - OPEX'!$A$3:$BE$22,57,FALSE)</f>
        <v>4370118.6705</v>
      </c>
      <c r="Y9" s="1">
        <f>VLOOKUP($A9,'BASE PAN - OPEX'!$A$3:$BH$22,60,FALSE)</f>
        <v>4372587.2370999996</v>
      </c>
      <c r="Z9" s="1">
        <f>VLOOKUP($A9,'BASE PAN - OPEX'!$A$3:$BK$22,63,FALSE)</f>
        <v>4375018.4456000002</v>
      </c>
      <c r="AA9" s="1">
        <f>VLOOKUP($A9,'BASE PAN - OPEX'!$A$3:$BN$22,66,FALSE)</f>
        <v>4377485.6561000003</v>
      </c>
      <c r="AB9" s="1">
        <f>VLOOKUP($A9,'BASE PAN - OPEX'!$A$3:$BQ$22,69,FALSE)</f>
        <v>4379944.5730999997</v>
      </c>
      <c r="AC9" s="1">
        <f>VLOOKUP($A9,'BASE PAN - OPEX'!$A$3:$BT$22,72,FALSE)</f>
        <v>4382326.7593999999</v>
      </c>
      <c r="AD9" s="1">
        <f>VLOOKUP($A9,'BASE PAN - OPEX'!$A$3:$BW$22,75,FALSE)</f>
        <v>4384611.8690999998</v>
      </c>
      <c r="AE9" s="1">
        <f>VLOOKUP($A9,'BASE PAN - OPEX'!$A$3:$BZ$22,78,FALSE)</f>
        <v>4386891.5148</v>
      </c>
      <c r="AF9" s="1">
        <f>VLOOKUP($A9,'BASE PAN - OPEX'!$A$3:$CC$22,81,FALSE)</f>
        <v>4389101.0562000005</v>
      </c>
      <c r="AG9" s="1">
        <f>VLOOKUP($A9,'BASE PAN - OPEX'!$A$3:$CF$22,84,FALSE)</f>
        <v>4391321.41</v>
      </c>
      <c r="AH9" s="1">
        <f>VLOOKUP($A9,'BASE PAN - OPEX'!$A$3:$CI$22,87,FALSE)</f>
        <v>4393585.3326000003</v>
      </c>
      <c r="AI9" s="1">
        <f>VLOOKUP($A9,'BASE PAN - OPEX'!$A$3:$CL$22,90,FALSE)</f>
        <v>4395882.6108999997</v>
      </c>
      <c r="AJ9" s="1">
        <f>VLOOKUP($A9,'BASE PAN - OPEX'!$A$3:$CO$22,93,FALSE)</f>
        <v>4398880.8331246041</v>
      </c>
      <c r="AK9" s="1">
        <f>VLOOKUP($A9,'BASE PAN - OPEX'!$A$3:$CR$22,96,FALSE)</f>
        <v>4401096.0420066901</v>
      </c>
      <c r="AL9" s="1">
        <f t="shared" si="1"/>
        <v>130996904.5842313</v>
      </c>
      <c r="AM9" s="1">
        <f t="shared" si="0"/>
        <v>65230381.82630001</v>
      </c>
      <c r="AN9" s="3">
        <f>VLOOKUP($A9,'BASE PAN - CAPEX'!$A$3:$H$22,8,FALSE)</f>
        <v>3</v>
      </c>
    </row>
    <row r="10" spans="1:97" x14ac:dyDescent="0.25">
      <c r="A10" t="s">
        <v>63</v>
      </c>
      <c r="B10" t="s">
        <v>66</v>
      </c>
      <c r="C10">
        <v>291170</v>
      </c>
      <c r="D10" t="s">
        <v>65</v>
      </c>
      <c r="E10" t="s">
        <v>66</v>
      </c>
      <c r="F10" t="s">
        <v>34</v>
      </c>
      <c r="G10" t="s">
        <v>28</v>
      </c>
      <c r="H10" s="1">
        <f>VLOOKUP($A10,'BASE PAN - OPEX'!$A$3:$F$22,6,FALSE)</f>
        <v>1679346.8485000001</v>
      </c>
      <c r="I10" s="1">
        <f>VLOOKUP($A10,'BASE PAN - OPEX'!$A$3:$J$22,10,FALSE)</f>
        <v>1682253.0611</v>
      </c>
      <c r="J10" s="1">
        <f>VLOOKUP($A10,'BASE PAN - OPEX'!$A$3:$N$22,14,FALSE)</f>
        <v>1684432.3496999999</v>
      </c>
      <c r="K10" s="1">
        <f>VLOOKUP($A10,'BASE PAN - OPEX'!$A$3:$R$22,18,FALSE)</f>
        <v>1686611.6383</v>
      </c>
      <c r="L10" s="1">
        <f>VLOOKUP($A10,'BASE PAN - OPEX'!$A$3:$U$22,21,FALSE)</f>
        <v>1688790.9269000001</v>
      </c>
      <c r="M10" s="1">
        <f>VLOOKUP($A10,'BASE PAN - OPEX'!$A$3:$X$22,24,FALSE)</f>
        <v>1690971.6989</v>
      </c>
      <c r="N10" s="1">
        <f>VLOOKUP($A10,'BASE PAN - OPEX'!$A$3:$AA$22,27,FALSE)</f>
        <v>1693150.9875</v>
      </c>
      <c r="O10" s="1">
        <f>VLOOKUP($A10,'BASE PAN - OPEX'!$A$3:$AD$22,30,FALSE)</f>
        <v>1695330.2760999999</v>
      </c>
      <c r="P10" s="1">
        <f>VLOOKUP($A10,'BASE PAN - OPEX'!$A$3:$AG$22,33,FALSE)</f>
        <v>1697509.5647</v>
      </c>
      <c r="Q10" s="1">
        <f>VLOOKUP($A10,'BASE PAN - OPEX'!$A$3:$AJ$22,36,FALSE)</f>
        <v>1699688.8533000001</v>
      </c>
      <c r="R10" s="1">
        <f>VLOOKUP($A10,'BASE PAN - OPEX'!$A$3:$AM$22,39,FALSE)</f>
        <v>1701868.142</v>
      </c>
      <c r="S10" s="1">
        <f>VLOOKUP($A10,'BASE PAN - OPEX'!$A$3:$AP$22,42,FALSE)</f>
        <v>1704048.9139</v>
      </c>
      <c r="T10" s="1">
        <f>VLOOKUP($A10,'BASE PAN - OPEX'!$A$3:$AS$22,45,FALSE)</f>
        <v>1706228.2024999999</v>
      </c>
      <c r="U10" s="1">
        <f>VLOOKUP($A10,'BASE PAN - OPEX'!$A$3:$AV$22,48,FALSE)</f>
        <v>1708407.4911</v>
      </c>
      <c r="V10" s="1">
        <f>VLOOKUP($A10,'BASE PAN - OPEX'!$A$3:$AY$22,51,FALSE)</f>
        <v>1710586.7797999999</v>
      </c>
      <c r="W10" s="1">
        <f>VLOOKUP($A10,'BASE PAN - OPEX'!$A$3:$BB$22,54,FALSE)</f>
        <v>1712766.0684</v>
      </c>
      <c r="X10" s="1">
        <f>VLOOKUP($A10,'BASE PAN - OPEX'!$A$3:$BE$22,57,FALSE)</f>
        <v>1714945.3570000001</v>
      </c>
      <c r="Y10" s="1">
        <f>VLOOKUP($A10,'BASE PAN - OPEX'!$A$3:$BH$22,60,FALSE)</f>
        <v>1717126.129</v>
      </c>
      <c r="Z10" s="1">
        <f>VLOOKUP($A10,'BASE PAN - OPEX'!$A$3:$BK$22,63,FALSE)</f>
        <v>1719305.4176</v>
      </c>
      <c r="AA10" s="1">
        <f>VLOOKUP($A10,'BASE PAN - OPEX'!$A$3:$BN$22,66,FALSE)</f>
        <v>1721484.7061999999</v>
      </c>
      <c r="AB10" s="1">
        <f>VLOOKUP($A10,'BASE PAN - OPEX'!$A$3:$BQ$22,69,FALSE)</f>
        <v>1723663.9948</v>
      </c>
      <c r="AC10" s="1">
        <f>VLOOKUP($A10,'BASE PAN - OPEX'!$A$3:$BT$22,72,FALSE)</f>
        <v>1725843.2834000001</v>
      </c>
      <c r="AD10" s="1">
        <f>VLOOKUP($A10,'BASE PAN - OPEX'!$A$3:$BW$22,75,FALSE)</f>
        <v>1728022.5719999999</v>
      </c>
      <c r="AE10" s="1">
        <f>VLOOKUP($A10,'BASE PAN - OPEX'!$A$3:$BZ$22,78,FALSE)</f>
        <v>1730203.344</v>
      </c>
      <c r="AF10" s="1">
        <f>VLOOKUP($A10,'BASE PAN - OPEX'!$A$3:$CC$22,81,FALSE)</f>
        <v>1732382.6325999999</v>
      </c>
      <c r="AG10" s="1">
        <f>VLOOKUP($A10,'BASE PAN - OPEX'!$A$3:$CF$22,84,FALSE)</f>
        <v>1734561.9212</v>
      </c>
      <c r="AH10" s="1">
        <f>VLOOKUP($A10,'BASE PAN - OPEX'!$A$3:$CI$22,87,FALSE)</f>
        <v>1736741.2098000001</v>
      </c>
      <c r="AI10" s="1">
        <f>VLOOKUP($A10,'BASE PAN - OPEX'!$A$3:$CL$22,90,FALSE)</f>
        <v>1738920.4985</v>
      </c>
      <c r="AJ10" s="1">
        <f>VLOOKUP($A10,'BASE PAN - OPEX'!$A$3:$CO$22,93,FALSE)</f>
        <v>1741152.2988365078</v>
      </c>
      <c r="AK10" s="1">
        <f>VLOOKUP($A10,'BASE PAN - OPEX'!$A$3:$CR$22,96,FALSE)</f>
        <v>1743287.3543544211</v>
      </c>
      <c r="AL10" s="1">
        <f t="shared" si="1"/>
        <v>51349632.521990918</v>
      </c>
      <c r="AM10" s="1">
        <f t="shared" si="0"/>
        <v>25429225.734300002</v>
      </c>
      <c r="AN10" s="3">
        <f>VLOOKUP($A10,'BASE PAN - CAPEX'!$A$3:$H$22,8,FALSE)</f>
        <v>3</v>
      </c>
    </row>
    <row r="11" spans="1:97" x14ac:dyDescent="0.25">
      <c r="A11" t="s">
        <v>67</v>
      </c>
      <c r="B11" t="s">
        <v>98</v>
      </c>
      <c r="C11">
        <v>261390</v>
      </c>
      <c r="D11" t="s">
        <v>69</v>
      </c>
      <c r="E11" t="s">
        <v>70</v>
      </c>
      <c r="F11" t="s">
        <v>31</v>
      </c>
      <c r="G11" t="s">
        <v>28</v>
      </c>
      <c r="H11" s="1">
        <f>VLOOKUP($A11,'BASE PAN - OPEX'!$A$3:$F$22,6,FALSE)</f>
        <v>1116942.1797</v>
      </c>
      <c r="I11" s="1">
        <f>VLOOKUP($A11,'BASE PAN - OPEX'!$A$3:$J$22,10,FALSE)</f>
        <v>1117743.0289</v>
      </c>
      <c r="J11" s="1">
        <f>VLOOKUP($A11,'BASE PAN - OPEX'!$A$3:$N$22,14,FALSE)</f>
        <v>1118424.0682999999</v>
      </c>
      <c r="K11" s="1">
        <f>VLOOKUP($A11,'BASE PAN - OPEX'!$A$3:$R$22,18,FALSE)</f>
        <v>1119050.0922999999</v>
      </c>
      <c r="L11" s="1">
        <f>VLOOKUP($A11,'BASE PAN - OPEX'!$A$3:$U$22,21,FALSE)</f>
        <v>1119652.1081000001</v>
      </c>
      <c r="M11" s="1">
        <f>VLOOKUP($A11,'BASE PAN - OPEX'!$A$3:$X$22,24,FALSE)</f>
        <v>1120227.1492000001</v>
      </c>
      <c r="N11" s="1">
        <f>VLOOKUP($A11,'BASE PAN - OPEX'!$A$3:$AA$22,27,FALSE)</f>
        <v>1120774.1495999999</v>
      </c>
      <c r="O11" s="1">
        <f>VLOOKUP($A11,'BASE PAN - OPEX'!$A$3:$AD$22,30,FALSE)</f>
        <v>1121290.5604000001</v>
      </c>
      <c r="P11" s="1">
        <f>VLOOKUP($A11,'BASE PAN - OPEX'!$A$3:$AG$22,33,FALSE)</f>
        <v>1121753.439</v>
      </c>
      <c r="Q11" s="1">
        <f>VLOOKUP($A11,'BASE PAN - OPEX'!$A$3:$AJ$22,36,FALSE)</f>
        <v>1122217.801</v>
      </c>
      <c r="R11" s="1">
        <f>VLOOKUP($A11,'BASE PAN - OPEX'!$A$3:$AM$22,39,FALSE)</f>
        <v>1122683.2289</v>
      </c>
      <c r="S11" s="1">
        <f>VLOOKUP($A11,'BASE PAN - OPEX'!$A$3:$AP$22,42,FALSE)</f>
        <v>1123158.8532</v>
      </c>
      <c r="T11" s="1">
        <f>VLOOKUP($A11,'BASE PAN - OPEX'!$A$3:$AS$22,45,FALSE)</f>
        <v>1123621.7319</v>
      </c>
      <c r="U11" s="1">
        <f>VLOOKUP($A11,'BASE PAN - OPEX'!$A$3:$AV$22,48,FALSE)</f>
        <v>1124089.7089</v>
      </c>
      <c r="V11" s="1">
        <f>VLOOKUP($A11,'BASE PAN - OPEX'!$A$3:$AY$22,51,FALSE)</f>
        <v>1124565.3333000001</v>
      </c>
      <c r="W11" s="1">
        <f>VLOOKUP($A11,'BASE PAN - OPEX'!$A$3:$BB$22,54,FALSE)</f>
        <v>1125046.0559</v>
      </c>
      <c r="X11" s="1">
        <f>VLOOKUP($A11,'BASE PAN - OPEX'!$A$3:$BE$22,57,FALSE)</f>
        <v>1125511.4837</v>
      </c>
      <c r="Y11" s="1">
        <f>VLOOKUP($A11,'BASE PAN - OPEX'!$A$3:$BH$22,60,FALSE)</f>
        <v>1125998.7881</v>
      </c>
      <c r="Z11" s="1">
        <f>VLOOKUP($A11,'BASE PAN - OPEX'!$A$3:$BK$22,63,FALSE)</f>
        <v>1126474.4125000001</v>
      </c>
      <c r="AA11" s="1">
        <f>VLOOKUP($A11,'BASE PAN - OPEX'!$A$3:$BN$22,66,FALSE)</f>
        <v>1126952.5859999999</v>
      </c>
      <c r="AB11" s="1">
        <f>VLOOKUP($A11,'BASE PAN - OPEX'!$A$3:$BQ$22,69,FALSE)</f>
        <v>1127430.7594999999</v>
      </c>
      <c r="AC11" s="1">
        <f>VLOOKUP($A11,'BASE PAN - OPEX'!$A$3:$BT$22,72,FALSE)</f>
        <v>1127903.8348000001</v>
      </c>
      <c r="AD11" s="1">
        <f>VLOOKUP($A11,'BASE PAN - OPEX'!$A$3:$BW$22,75,FALSE)</f>
        <v>1128366.7134</v>
      </c>
      <c r="AE11" s="1">
        <f>VLOOKUP($A11,'BASE PAN - OPEX'!$A$3:$BZ$22,78,FALSE)</f>
        <v>1128839.7886999999</v>
      </c>
      <c r="AF11" s="1">
        <f>VLOOKUP($A11,'BASE PAN - OPEX'!$A$3:$CC$22,81,FALSE)</f>
        <v>1129292.4708</v>
      </c>
      <c r="AG11" s="1">
        <f>VLOOKUP($A11,'BASE PAN - OPEX'!$A$3:$CF$22,84,FALSE)</f>
        <v>1129742.6037000001</v>
      </c>
      <c r="AH11" s="1">
        <f>VLOOKUP($A11,'BASE PAN - OPEX'!$A$3:$CI$22,87,FALSE)</f>
        <v>1130206.9657000001</v>
      </c>
      <c r="AI11" s="1">
        <f>VLOOKUP($A11,'BASE PAN - OPEX'!$A$3:$CL$22,90,FALSE)</f>
        <v>1130674.9427</v>
      </c>
      <c r="AJ11" s="1">
        <f>VLOOKUP($A11,'BASE PAN - OPEX'!$A$3:$CO$22,93,FALSE)</f>
        <v>1131350.9523825399</v>
      </c>
      <c r="AK11" s="1">
        <f>VLOOKUP($A11,'BASE PAN - OPEX'!$A$3:$CR$22,96,FALSE)</f>
        <v>1131788.2865229025</v>
      </c>
      <c r="AL11" s="1">
        <f t="shared" si="1"/>
        <v>33741774.077105448</v>
      </c>
      <c r="AM11" s="1">
        <f t="shared" si="0"/>
        <v>16816193.432700001</v>
      </c>
      <c r="AN11" s="3">
        <f>VLOOKUP($A11,'BASE PAN - CAPEX'!$A$3:$H$22,8,FALSE)</f>
        <v>1</v>
      </c>
    </row>
    <row r="12" spans="1:97" x14ac:dyDescent="0.25">
      <c r="A12" t="s">
        <v>71</v>
      </c>
      <c r="B12" t="s">
        <v>99</v>
      </c>
      <c r="C12">
        <v>110004</v>
      </c>
      <c r="D12" t="s">
        <v>73</v>
      </c>
      <c r="E12" t="s">
        <v>72</v>
      </c>
      <c r="F12" t="s">
        <v>25</v>
      </c>
      <c r="G12" t="s">
        <v>28</v>
      </c>
      <c r="H12" s="1">
        <f>VLOOKUP($A12,'BASE PAN - OPEX'!$A$3:$F$22,6,FALSE)</f>
        <v>4867122.5055999998</v>
      </c>
      <c r="I12" s="1">
        <f>VLOOKUP($A12,'BASE PAN - OPEX'!$A$3:$J$22,10,FALSE)</f>
        <v>4875211.6573000001</v>
      </c>
      <c r="J12" s="1">
        <f>VLOOKUP($A12,'BASE PAN - OPEX'!$A$3:$N$22,14,FALSE)</f>
        <v>4882179.1885000002</v>
      </c>
      <c r="K12" s="1">
        <f>VLOOKUP($A12,'BASE PAN - OPEX'!$A$3:$R$22,18,FALSE)</f>
        <v>4888683.6772999996</v>
      </c>
      <c r="L12" s="1">
        <f>VLOOKUP($A12,'BASE PAN - OPEX'!$A$3:$U$22,21,FALSE)</f>
        <v>4894839.5173000004</v>
      </c>
      <c r="M12" s="1">
        <f>VLOOKUP($A12,'BASE PAN - OPEX'!$A$3:$X$22,24,FALSE)</f>
        <v>4900761.2790999999</v>
      </c>
      <c r="N12" s="1">
        <f>VLOOKUP($A12,'BASE PAN - OPEX'!$A$3:$AA$22,27,FALSE)</f>
        <v>4906302.2880999995</v>
      </c>
      <c r="O12" s="1">
        <f>VLOOKUP($A12,'BASE PAN - OPEX'!$A$3:$AD$22,30,FALSE)</f>
        <v>4911455.4759</v>
      </c>
      <c r="P12" s="1">
        <f>VLOOKUP($A12,'BASE PAN - OPEX'!$A$3:$AG$22,33,FALSE)</f>
        <v>4916301.8108999999</v>
      </c>
      <c r="Q12" s="1">
        <f>VLOOKUP($A12,'BASE PAN - OPEX'!$A$3:$AJ$22,36,FALSE)</f>
        <v>4921121.0488999998</v>
      </c>
      <c r="R12" s="1">
        <f>VLOOKUP($A12,'BASE PAN - OPEX'!$A$3:$AM$22,39,FALSE)</f>
        <v>4925940.4009999996</v>
      </c>
      <c r="S12" s="1">
        <f>VLOOKUP($A12,'BASE PAN - OPEX'!$A$3:$AP$22,42,FALSE)</f>
        <v>4930877.4238</v>
      </c>
      <c r="T12" s="1">
        <f>VLOOKUP($A12,'BASE PAN - OPEX'!$A$3:$AS$22,45,FALSE)</f>
        <v>4935742.7515000002</v>
      </c>
      <c r="U12" s="1">
        <f>VLOOKUP($A12,'BASE PAN - OPEX'!$A$3:$AV$22,48,FALSE)</f>
        <v>4940721.9331999999</v>
      </c>
      <c r="V12" s="1">
        <f>VLOOKUP($A12,'BASE PAN - OPEX'!$A$3:$AY$22,51,FALSE)</f>
        <v>4945693.0387000004</v>
      </c>
      <c r="W12" s="1">
        <f>VLOOKUP($A12,'BASE PAN - OPEX'!$A$3:$BB$22,54,FALSE)</f>
        <v>4950814.4204000002</v>
      </c>
      <c r="X12" s="1">
        <f>VLOOKUP($A12,'BASE PAN - OPEX'!$A$3:$BE$22,57,FALSE)</f>
        <v>4956044.5176999997</v>
      </c>
      <c r="Y12" s="1">
        <f>VLOOKUP($A12,'BASE PAN - OPEX'!$A$3:$BH$22,60,FALSE)</f>
        <v>4961330.9642000003</v>
      </c>
      <c r="Z12" s="1">
        <f>VLOOKUP($A12,'BASE PAN - OPEX'!$A$3:$BK$22,63,FALSE)</f>
        <v>4966503.9720999999</v>
      </c>
      <c r="AA12" s="1">
        <f>VLOOKUP($A12,'BASE PAN - OPEX'!$A$3:$BN$22,66,FALSE)</f>
        <v>4971732.8964999998</v>
      </c>
      <c r="AB12" s="1">
        <f>VLOOKUP($A12,'BASE PAN - OPEX'!$A$3:$BQ$22,69,FALSE)</f>
        <v>4976954.1501000002</v>
      </c>
      <c r="AC12" s="1">
        <f>VLOOKUP($A12,'BASE PAN - OPEX'!$A$3:$BT$22,72,FALSE)</f>
        <v>4981783.3288000003</v>
      </c>
      <c r="AD12" s="1">
        <f>VLOOKUP($A12,'BASE PAN - OPEX'!$A$3:$BW$22,75,FALSE)</f>
        <v>4986405.4051999999</v>
      </c>
      <c r="AE12" s="1">
        <f>VLOOKUP($A12,'BASE PAN - OPEX'!$A$3:$BZ$22,78,FALSE)</f>
        <v>4990994.1946</v>
      </c>
      <c r="AF12" s="1">
        <f>VLOOKUP($A12,'BASE PAN - OPEX'!$A$3:$CC$22,81,FALSE)</f>
        <v>4995380.3998999996</v>
      </c>
      <c r="AG12" s="1">
        <f>VLOOKUP($A12,'BASE PAN - OPEX'!$A$3:$CF$22,84,FALSE)</f>
        <v>4999809.3668</v>
      </c>
      <c r="AH12" s="1">
        <f>VLOOKUP($A12,'BASE PAN - OPEX'!$A$3:$CI$22,87,FALSE)</f>
        <v>5004305.9768000003</v>
      </c>
      <c r="AI12" s="1">
        <f>VLOOKUP($A12,'BASE PAN - OPEX'!$A$3:$CL$22,90,FALSE)</f>
        <v>5008897.4407000002</v>
      </c>
      <c r="AJ12" s="1">
        <f>VLOOKUP($A12,'BASE PAN - OPEX'!$A$3:$CO$22,93,FALSE)</f>
        <v>5016885.4640904767</v>
      </c>
      <c r="AK12" s="1">
        <f>VLOOKUP($A12,'BASE PAN - OPEX'!$A$3:$CR$22,96,FALSE)</f>
        <v>5021498.5782073699</v>
      </c>
      <c r="AL12" s="1">
        <f t="shared" si="1"/>
        <v>148432295.07319787</v>
      </c>
      <c r="AM12" s="1">
        <f t="shared" si="0"/>
        <v>73642953.997100011</v>
      </c>
      <c r="AN12" s="3">
        <f>VLOOKUP($A12,'BASE PAN - CAPEX'!$A$3:$H$22,8,FALSE)</f>
        <v>3</v>
      </c>
    </row>
    <row r="13" spans="1:97" x14ac:dyDescent="0.25">
      <c r="A13" t="s">
        <v>76</v>
      </c>
      <c r="B13" t="s">
        <v>100</v>
      </c>
      <c r="C13">
        <v>170210</v>
      </c>
      <c r="D13" t="s">
        <v>78</v>
      </c>
      <c r="E13" t="s">
        <v>77</v>
      </c>
      <c r="F13" t="s">
        <v>27</v>
      </c>
      <c r="G13" t="s">
        <v>28</v>
      </c>
      <c r="H13" s="1">
        <f>VLOOKUP($A13,'BASE PAN - OPEX'!$A$3:$F$22,6,FALSE)</f>
        <v>4953879.3809000002</v>
      </c>
      <c r="I13" s="1">
        <f>VLOOKUP($A13,'BASE PAN - OPEX'!$A$3:$J$22,10,FALSE)</f>
        <v>4959561.5581</v>
      </c>
      <c r="J13" s="1">
        <f>VLOOKUP($A13,'BASE PAN - OPEX'!$A$3:$N$22,14,FALSE)</f>
        <v>4964005.0592999998</v>
      </c>
      <c r="K13" s="1">
        <f>VLOOKUP($A13,'BASE PAN - OPEX'!$A$3:$R$22,18,FALSE)</f>
        <v>4967863.3534000004</v>
      </c>
      <c r="L13" s="1">
        <f>VLOOKUP($A13,'BASE PAN - OPEX'!$A$3:$U$22,21,FALSE)</f>
        <v>4971416.0357999997</v>
      </c>
      <c r="M13" s="1">
        <f>VLOOKUP($A13,'BASE PAN - OPEX'!$A$3:$X$22,24,FALSE)</f>
        <v>4974751.9132000003</v>
      </c>
      <c r="N13" s="1">
        <f>VLOOKUP($A13,'BASE PAN - OPEX'!$A$3:$AA$22,27,FALSE)</f>
        <v>4977819.0475000003</v>
      </c>
      <c r="O13" s="1">
        <f>VLOOKUP($A13,'BASE PAN - OPEX'!$A$3:$AD$22,30,FALSE)</f>
        <v>4980556.7116</v>
      </c>
      <c r="P13" s="1">
        <f>VLOOKUP($A13,'BASE PAN - OPEX'!$A$3:$AG$22,33,FALSE)</f>
        <v>4983073.8015000001</v>
      </c>
      <c r="Q13" s="1">
        <f>VLOOKUP($A13,'BASE PAN - OPEX'!$A$3:$AJ$22,36,FALSE)</f>
        <v>4985565.7751000002</v>
      </c>
      <c r="R13" s="1">
        <f>VLOOKUP($A13,'BASE PAN - OPEX'!$A$3:$AM$22,39,FALSE)</f>
        <v>4988017.5629000003</v>
      </c>
      <c r="S13" s="1">
        <f>VLOOKUP($A13,'BASE PAN - OPEX'!$A$3:$AP$22,42,FALSE)</f>
        <v>4990536.7161999997</v>
      </c>
      <c r="T13" s="1">
        <f>VLOOKUP($A13,'BASE PAN - OPEX'!$A$3:$AS$22,45,FALSE)</f>
        <v>4992973.4342</v>
      </c>
      <c r="U13" s="1">
        <f>VLOOKUP($A13,'BASE PAN - OPEX'!$A$3:$AV$22,48,FALSE)</f>
        <v>4995450.3381000003</v>
      </c>
      <c r="V13" s="1">
        <f>VLOOKUP($A13,'BASE PAN - OPEX'!$A$3:$AY$22,51,FALSE)</f>
        <v>4997883.0681999996</v>
      </c>
      <c r="W13" s="1">
        <f>VLOOKUP($A13,'BASE PAN - OPEX'!$A$3:$BB$22,54,FALSE)</f>
        <v>5000408.8704000004</v>
      </c>
      <c r="X13" s="1">
        <f>VLOOKUP($A13,'BASE PAN - OPEX'!$A$3:$BE$22,57,FALSE)</f>
        <v>5002938.5182999996</v>
      </c>
      <c r="Y13" s="1">
        <f>VLOOKUP($A13,'BASE PAN - OPEX'!$A$3:$BH$22,60,FALSE)</f>
        <v>5005515.4387999997</v>
      </c>
      <c r="Z13" s="1">
        <f>VLOOKUP($A13,'BASE PAN - OPEX'!$A$3:$BK$22,63,FALSE)</f>
        <v>5007974.7614000002</v>
      </c>
      <c r="AA13" s="1">
        <f>VLOOKUP($A13,'BASE PAN - OPEX'!$A$3:$BN$22,66,FALSE)</f>
        <v>5010496.1968999999</v>
      </c>
      <c r="AB13" s="1">
        <f>VLOOKUP($A13,'BASE PAN - OPEX'!$A$3:$BQ$22,69,FALSE)</f>
        <v>5012937.9381999997</v>
      </c>
      <c r="AC13" s="1">
        <f>VLOOKUP($A13,'BASE PAN - OPEX'!$A$3:$BT$22,72,FALSE)</f>
        <v>5015251.1387999998</v>
      </c>
      <c r="AD13" s="1">
        <f>VLOOKUP($A13,'BASE PAN - OPEX'!$A$3:$BW$22,75,FALSE)</f>
        <v>5017476.8809000002</v>
      </c>
      <c r="AE13" s="1">
        <f>VLOOKUP($A13,'BASE PAN - OPEX'!$A$3:$BZ$22,78,FALSE)</f>
        <v>5019727.2910000002</v>
      </c>
      <c r="AF13" s="1">
        <f>VLOOKUP($A13,'BASE PAN - OPEX'!$A$3:$CC$22,81,FALSE)</f>
        <v>5021834.9870999996</v>
      </c>
      <c r="AG13" s="1">
        <f>VLOOKUP($A13,'BASE PAN - OPEX'!$A$3:$CF$22,84,FALSE)</f>
        <v>5023897.4738999996</v>
      </c>
      <c r="AH13" s="1">
        <f>VLOOKUP($A13,'BASE PAN - OPEX'!$A$3:$CI$22,87,FALSE)</f>
        <v>5025986.1122000003</v>
      </c>
      <c r="AI13" s="1">
        <f>VLOOKUP($A13,'BASE PAN - OPEX'!$A$3:$CL$22,90,FALSE)</f>
        <v>5028113.9012000002</v>
      </c>
      <c r="AJ13" s="1">
        <f>VLOOKUP($A13,'BASE PAN - OPEX'!$A$3:$CO$22,93,FALSE)</f>
        <v>5033326.7109190468</v>
      </c>
      <c r="AK13" s="1">
        <f>VLOOKUP($A13,'BASE PAN - OPEX'!$A$3:$CR$22,96,FALSE)</f>
        <v>5035412.1183828786</v>
      </c>
      <c r="AL13" s="1">
        <f t="shared" si="1"/>
        <v>149944652.0944019</v>
      </c>
      <c r="AM13" s="1">
        <f t="shared" si="0"/>
        <v>74683353.756000012</v>
      </c>
      <c r="AN13" s="3">
        <f>VLOOKUP($A13,'BASE PAN - CAPEX'!$A$3:$H$22,8,FALSE)</f>
        <v>3</v>
      </c>
    </row>
    <row r="14" spans="1:97" x14ac:dyDescent="0.25">
      <c r="A14" t="s">
        <v>80</v>
      </c>
      <c r="B14" t="s">
        <v>101</v>
      </c>
      <c r="C14">
        <v>221060</v>
      </c>
      <c r="D14" t="s">
        <v>82</v>
      </c>
      <c r="E14" t="s">
        <v>83</v>
      </c>
      <c r="F14" t="s">
        <v>33</v>
      </c>
      <c r="G14" t="s">
        <v>28</v>
      </c>
      <c r="H14" s="1">
        <f>VLOOKUP($A14,'BASE PAN - OPEX'!$A$3:$F$22,6,FALSE)</f>
        <v>2451818.4890000001</v>
      </c>
      <c r="I14" s="1">
        <f>VLOOKUP($A14,'BASE PAN - OPEX'!$A$3:$J$22,10,FALSE)</f>
        <v>2455741.6605000002</v>
      </c>
      <c r="J14" s="1">
        <f>VLOOKUP($A14,'BASE PAN - OPEX'!$A$3:$N$22,14,FALSE)</f>
        <v>2459159.8695999999</v>
      </c>
      <c r="K14" s="1">
        <f>VLOOKUP($A14,'BASE PAN - OPEX'!$A$3:$R$22,18,FALSE)</f>
        <v>2462344.2428000001</v>
      </c>
      <c r="L14" s="1">
        <f>VLOOKUP($A14,'BASE PAN - OPEX'!$A$3:$U$22,21,FALSE)</f>
        <v>2465698.5482999999</v>
      </c>
      <c r="M14" s="1">
        <f>VLOOKUP($A14,'BASE PAN - OPEX'!$A$3:$X$22,24,FALSE)</f>
        <v>2466718.7212999999</v>
      </c>
      <c r="N14" s="1">
        <f>VLOOKUP($A14,'BASE PAN - OPEX'!$A$3:$AA$22,27,FALSE)</f>
        <v>2470530.3119999999</v>
      </c>
      <c r="O14" s="1">
        <f>VLOOKUP($A14,'BASE PAN - OPEX'!$A$3:$AD$22,30,FALSE)</f>
        <v>2474321.7511</v>
      </c>
      <c r="P14" s="1">
        <f>VLOOKUP($A14,'BASE PAN - OPEX'!$A$3:$AG$22,33,FALSE)</f>
        <v>2475236.1283</v>
      </c>
      <c r="Q14" s="1">
        <f>VLOOKUP($A14,'BASE PAN - OPEX'!$A$3:$AJ$22,36,FALSE)</f>
        <v>2479003.5408999999</v>
      </c>
      <c r="R14" s="1">
        <f>VLOOKUP($A14,'BASE PAN - OPEX'!$A$3:$AM$22,39,FALSE)</f>
        <v>2479899.2499000002</v>
      </c>
      <c r="S14" s="1">
        <f>VLOOKUP($A14,'BASE PAN - OPEX'!$A$3:$AP$22,42,FALSE)</f>
        <v>2483755.2634999999</v>
      </c>
      <c r="T14" s="1">
        <f>VLOOKUP($A14,'BASE PAN - OPEX'!$A$3:$AS$22,45,FALSE)</f>
        <v>2484619.2618</v>
      </c>
      <c r="U14" s="1">
        <f>VLOOKUP($A14,'BASE PAN - OPEX'!$A$3:$AV$22,48,FALSE)</f>
        <v>2485488.298</v>
      </c>
      <c r="V14" s="1">
        <f>VLOOKUP($A14,'BASE PAN - OPEX'!$A$3:$AY$22,51,FALSE)</f>
        <v>2489317.5213000001</v>
      </c>
      <c r="W14" s="1">
        <f>VLOOKUP($A14,'BASE PAN - OPEX'!$A$3:$BB$22,54,FALSE)</f>
        <v>2490224.3417000002</v>
      </c>
      <c r="X14" s="1">
        <f>VLOOKUP($A14,'BASE PAN - OPEX'!$A$3:$BE$22,57,FALSE)</f>
        <v>2494170.5994000002</v>
      </c>
      <c r="Y14" s="1">
        <f>VLOOKUP($A14,'BASE PAN - OPEX'!$A$3:$BH$22,60,FALSE)</f>
        <v>2495101.8730000001</v>
      </c>
      <c r="Z14" s="1">
        <f>VLOOKUP($A14,'BASE PAN - OPEX'!$A$3:$BK$22,63,FALSE)</f>
        <v>2499016.7404999998</v>
      </c>
      <c r="AA14" s="1">
        <f>VLOOKUP($A14,'BASE PAN - OPEX'!$A$3:$BN$22,66,FALSE)</f>
        <v>2499865.6252000001</v>
      </c>
      <c r="AB14" s="1">
        <f>VLOOKUP($A14,'BASE PAN - OPEX'!$A$3:$BQ$22,69,FALSE)</f>
        <v>2503783.0115999999</v>
      </c>
      <c r="AC14" s="1">
        <f>VLOOKUP($A14,'BASE PAN - OPEX'!$A$3:$BT$22,72,FALSE)</f>
        <v>2504577.6422999999</v>
      </c>
      <c r="AD14" s="1">
        <f>VLOOKUP($A14,'BASE PAN - OPEX'!$A$3:$BW$22,75,FALSE)</f>
        <v>2508493.9931000001</v>
      </c>
      <c r="AE14" s="1">
        <f>VLOOKUP($A14,'BASE PAN - OPEX'!$A$3:$BZ$22,78,FALSE)</f>
        <v>2509219.4493999998</v>
      </c>
      <c r="AF14" s="1">
        <f>VLOOKUP($A14,'BASE PAN - OPEX'!$A$3:$CC$22,81,FALSE)</f>
        <v>2513031.0400999999</v>
      </c>
      <c r="AG14" s="1">
        <f>VLOOKUP($A14,'BASE PAN - OPEX'!$A$3:$CF$22,84,FALSE)</f>
        <v>2513607.8785999999</v>
      </c>
      <c r="AH14" s="1">
        <f>VLOOKUP($A14,'BASE PAN - OPEX'!$A$3:$CI$22,87,FALSE)</f>
        <v>2514187.2360999999</v>
      </c>
      <c r="AI14" s="1">
        <f>VLOOKUP($A14,'BASE PAN - OPEX'!$A$3:$CL$22,90,FALSE)</f>
        <v>2514777.0954999998</v>
      </c>
      <c r="AJ14" s="1">
        <f>VLOOKUP($A14,'BASE PAN - OPEX'!$A$3:$CO$22,93,FALSE)</f>
        <v>2521159.123126985</v>
      </c>
      <c r="AK14" s="1">
        <f>VLOOKUP($A14,'BASE PAN - OPEX'!$A$3:$CR$22,96,FALSE)</f>
        <v>2523185.6288530626</v>
      </c>
      <c r="AL14" s="1">
        <f t="shared" si="1"/>
        <v>74688054.136780068</v>
      </c>
      <c r="AM14" s="1">
        <f t="shared" si="0"/>
        <v>37083652.8583</v>
      </c>
      <c r="AN14" s="3">
        <f>VLOOKUP($A14,'BASE PAN - CAPEX'!$A$3:$H$22,8,FALSE)</f>
        <v>2</v>
      </c>
    </row>
    <row r="15" spans="1:97" x14ac:dyDescent="0.25">
      <c r="A15" t="s">
        <v>85</v>
      </c>
      <c r="B15" t="s">
        <v>86</v>
      </c>
      <c r="C15">
        <v>130340</v>
      </c>
      <c r="D15" t="s">
        <v>87</v>
      </c>
      <c r="E15" t="s">
        <v>86</v>
      </c>
      <c r="F15" t="s">
        <v>30</v>
      </c>
      <c r="G15" t="s">
        <v>28</v>
      </c>
      <c r="H15" s="1">
        <f>VLOOKUP($A15,'BASE PAN - OPEX'!$A$3:$F$22,6,FALSE)</f>
        <v>4603666.5942000002</v>
      </c>
      <c r="I15" s="1">
        <f>VLOOKUP($A15,'BASE PAN - OPEX'!$A$3:$J$22,10,FALSE)</f>
        <v>4619559.8777999999</v>
      </c>
      <c r="J15" s="1">
        <f>VLOOKUP($A15,'BASE PAN - OPEX'!$A$3:$N$22,14,FALSE)</f>
        <v>4632710.7614000002</v>
      </c>
      <c r="K15" s="1">
        <f>VLOOKUP($A15,'BASE PAN - OPEX'!$A$3:$R$22,18,FALSE)</f>
        <v>4644710.0661000004</v>
      </c>
      <c r="L15" s="1">
        <f>VLOOKUP($A15,'BASE PAN - OPEX'!$A$3:$U$22,21,FALSE)</f>
        <v>4655969.3640000001</v>
      </c>
      <c r="M15" s="1">
        <f>VLOOKUP($A15,'BASE PAN - OPEX'!$A$3:$X$22,24,FALSE)</f>
        <v>4666943.0716000004</v>
      </c>
      <c r="N15" s="1">
        <f>VLOOKUP($A15,'BASE PAN - OPEX'!$A$3:$AA$22,27,FALSE)</f>
        <v>4677329.6407000003</v>
      </c>
      <c r="O15" s="1">
        <f>VLOOKUP($A15,'BASE PAN - OPEX'!$A$3:$AD$22,30,FALSE)</f>
        <v>4687169.0290999999</v>
      </c>
      <c r="P15" s="1">
        <f>VLOOKUP($A15,'BASE PAN - OPEX'!$A$3:$AG$22,33,FALSE)</f>
        <v>4696405.5001999997</v>
      </c>
      <c r="Q15" s="1">
        <f>VLOOKUP($A15,'BASE PAN - OPEX'!$A$3:$AJ$22,36,FALSE)</f>
        <v>4705888.6654000003</v>
      </c>
      <c r="R15" s="1">
        <f>VLOOKUP($A15,'BASE PAN - OPEX'!$A$3:$AM$22,39,FALSE)</f>
        <v>4715217.4301000005</v>
      </c>
      <c r="S15" s="1">
        <f>VLOOKUP($A15,'BASE PAN - OPEX'!$A$3:$AP$22,42,FALSE)</f>
        <v>4724985.4247000003</v>
      </c>
      <c r="T15" s="1">
        <f>VLOOKUP($A15,'BASE PAN - OPEX'!$A$3:$AS$22,45,FALSE)</f>
        <v>4734532.7295000004</v>
      </c>
      <c r="U15" s="1">
        <f>VLOOKUP($A15,'BASE PAN - OPEX'!$A$3:$AV$22,48,FALSE)</f>
        <v>4744442.0480000004</v>
      </c>
      <c r="V15" s="1">
        <f>VLOOKUP($A15,'BASE PAN - OPEX'!$A$3:$AY$22,51,FALSE)</f>
        <v>4754326.7512999997</v>
      </c>
      <c r="W15" s="1">
        <f>VLOOKUP($A15,'BASE PAN - OPEX'!$A$3:$BB$22,54,FALSE)</f>
        <v>4764647.5210999995</v>
      </c>
      <c r="X15" s="1">
        <f>VLOOKUP($A15,'BASE PAN - OPEX'!$A$3:$BE$22,57,FALSE)</f>
        <v>4774998.7742999997</v>
      </c>
      <c r="Y15" s="1">
        <f>VLOOKUP($A15,'BASE PAN - OPEX'!$A$3:$BH$22,60,FALSE)</f>
        <v>4785817.4617999997</v>
      </c>
      <c r="Z15" s="1">
        <f>VLOOKUP($A15,'BASE PAN - OPEX'!$A$3:$BK$22,63,FALSE)</f>
        <v>4796311.5735999998</v>
      </c>
      <c r="AA15" s="1">
        <f>VLOOKUP($A15,'BASE PAN - OPEX'!$A$3:$BN$22,66,FALSE)</f>
        <v>4807213.5861</v>
      </c>
      <c r="AB15" s="1">
        <f>VLOOKUP($A15,'BASE PAN - OPEX'!$A$3:$BQ$22,69,FALSE)</f>
        <v>4817945.4128</v>
      </c>
      <c r="AC15" s="1">
        <f>VLOOKUP($A15,'BASE PAN - OPEX'!$A$3:$BT$22,72,FALSE)</f>
        <v>4828829.8027999997</v>
      </c>
      <c r="AD15" s="1">
        <f>VLOOKUP($A15,'BASE PAN - OPEX'!$A$3:$BW$22,75,FALSE)</f>
        <v>4839652.4420999996</v>
      </c>
      <c r="AE15" s="1">
        <f>VLOOKUP($A15,'BASE PAN - OPEX'!$A$3:$BZ$22,78,FALSE)</f>
        <v>4850928.5948000001</v>
      </c>
      <c r="AF15" s="1">
        <f>VLOOKUP($A15,'BASE PAN - OPEX'!$A$3:$CC$22,81,FALSE)</f>
        <v>4861829.1157</v>
      </c>
      <c r="AG15" s="1">
        <f>VLOOKUP($A15,'BASE PAN - OPEX'!$A$3:$CF$22,84,FALSE)</f>
        <v>4873171.6659000004</v>
      </c>
      <c r="AH15" s="1">
        <f>VLOOKUP($A15,'BASE PAN - OPEX'!$A$3:$CI$22,87,FALSE)</f>
        <v>4884721.7964000003</v>
      </c>
      <c r="AI15" s="1">
        <f>VLOOKUP($A15,'BASE PAN - OPEX'!$A$3:$CL$22,90,FALSE)</f>
        <v>4896546.6722999997</v>
      </c>
      <c r="AJ15" s="1">
        <f>VLOOKUP($A15,'BASE PAN - OPEX'!$A$3:$CO$22,93,FALSE)</f>
        <v>4902917.5577499978</v>
      </c>
      <c r="AK15" s="1">
        <f>VLOOKUP($A15,'BASE PAN - OPEX'!$A$3:$CR$22,96,FALSE)</f>
        <v>4912780.3403507918</v>
      </c>
      <c r="AL15" s="1">
        <f t="shared" si="1"/>
        <v>142862169.27190077</v>
      </c>
      <c r="AM15" s="1">
        <f t="shared" si="0"/>
        <v>70263856.954100013</v>
      </c>
      <c r="AN15" s="3">
        <f>VLOOKUP($A15,'BASE PAN - CAPEX'!$A$3:$H$22,8,FALSE)</f>
        <v>3</v>
      </c>
    </row>
    <row r="16" spans="1:97" x14ac:dyDescent="0.25">
      <c r="A16" t="s">
        <v>130</v>
      </c>
      <c r="B16" t="s">
        <v>131</v>
      </c>
      <c r="C16">
        <v>210170</v>
      </c>
      <c r="D16" t="s">
        <v>136</v>
      </c>
      <c r="E16" t="s">
        <v>131</v>
      </c>
      <c r="F16" t="s">
        <v>26</v>
      </c>
      <c r="G16" t="s">
        <v>28</v>
      </c>
      <c r="H16" s="1">
        <f>VLOOKUP($A16,'BASE PAN - OPEX'!$A$3:$F$22,6,FALSE)</f>
        <v>3887245.0828999998</v>
      </c>
      <c r="I16" s="1">
        <f>VLOOKUP($A16,'BASE PAN - OPEX'!$A$3:$J$22,10,FALSE)</f>
        <v>3901815.17</v>
      </c>
      <c r="J16" s="1">
        <f>VLOOKUP($A16,'BASE PAN - OPEX'!$A$3:$N$22,14,FALSE)</f>
        <v>3914399.7587000001</v>
      </c>
      <c r="K16" s="1">
        <f>VLOOKUP($A16,'BASE PAN - OPEX'!$A$3:$R$22,18,FALSE)</f>
        <v>3926076.8401000001</v>
      </c>
      <c r="L16" s="1">
        <f>VLOOKUP($A16,'BASE PAN - OPEX'!$A$3:$U$22,21,FALSE)</f>
        <v>3937114.5613000002</v>
      </c>
      <c r="M16" s="1">
        <f>VLOOKUP($A16,'BASE PAN - OPEX'!$A$3:$X$22,24,FALSE)</f>
        <v>3948340.5721</v>
      </c>
      <c r="N16" s="1">
        <f>VLOOKUP($A16,'BASE PAN - OPEX'!$A$3:$AA$22,27,FALSE)</f>
        <v>3958868.4377000001</v>
      </c>
      <c r="O16" s="1">
        <f>VLOOKUP($A16,'BASE PAN - OPEX'!$A$3:$AD$22,30,FALSE)</f>
        <v>3968461.2393999998</v>
      </c>
      <c r="P16" s="1">
        <f>VLOOKUP($A16,'BASE PAN - OPEX'!$A$3:$AG$22,33,FALSE)</f>
        <v>3977784.7083000001</v>
      </c>
      <c r="Q16" s="1">
        <f>VLOOKUP($A16,'BASE PAN - OPEX'!$A$3:$AJ$22,36,FALSE)</f>
        <v>3986631.676</v>
      </c>
      <c r="R16" s="1">
        <f>VLOOKUP($A16,'BASE PAN - OPEX'!$A$3:$AM$22,39,FALSE)</f>
        <v>3995757.7705999999</v>
      </c>
      <c r="S16" s="1">
        <f>VLOOKUP($A16,'BASE PAN - OPEX'!$A$3:$AP$22,42,FALSE)</f>
        <v>4005071.1719999998</v>
      </c>
      <c r="T16" s="1">
        <f>VLOOKUP($A16,'BASE PAN - OPEX'!$A$3:$AS$22,45,FALSE)</f>
        <v>4014436.8604000001</v>
      </c>
      <c r="U16" s="1">
        <f>VLOOKUP($A16,'BASE PAN - OPEX'!$A$3:$AV$22,48,FALSE)</f>
        <v>4023692.2023</v>
      </c>
      <c r="V16" s="1">
        <f>VLOOKUP($A16,'BASE PAN - OPEX'!$A$3:$AY$22,51,FALSE)</f>
        <v>4032909.3794</v>
      </c>
      <c r="W16" s="1">
        <f>VLOOKUP($A16,'BASE PAN - OPEX'!$A$3:$BB$22,54,FALSE)</f>
        <v>4042415.9942000001</v>
      </c>
      <c r="X16" s="1">
        <f>VLOOKUP($A16,'BASE PAN - OPEX'!$A$3:$BE$22,57,FALSE)</f>
        <v>4051655.0258999998</v>
      </c>
      <c r="Y16" s="1">
        <f>VLOOKUP($A16,'BASE PAN - OPEX'!$A$3:$BH$22,60,FALSE)</f>
        <v>4061530.2618</v>
      </c>
      <c r="Z16" s="1">
        <f>VLOOKUP($A16,'BASE PAN - OPEX'!$A$3:$BK$22,63,FALSE)</f>
        <v>4070886.7769999998</v>
      </c>
      <c r="AA16" s="1">
        <f>VLOOKUP($A16,'BASE PAN - OPEX'!$A$3:$BN$22,66,FALSE)</f>
        <v>4080362.87</v>
      </c>
      <c r="AB16" s="1">
        <f>VLOOKUP($A16,'BASE PAN - OPEX'!$A$3:$BQ$22,69,FALSE)</f>
        <v>4090235.5488</v>
      </c>
      <c r="AC16" s="1">
        <f>VLOOKUP($A16,'BASE PAN - OPEX'!$A$3:$BT$22,72,FALSE)</f>
        <v>4098996.9497000002</v>
      </c>
      <c r="AD16" s="1">
        <f>VLOOKUP($A16,'BASE PAN - OPEX'!$A$3:$BW$22,75,FALSE)</f>
        <v>4108177.0890000002</v>
      </c>
      <c r="AE16" s="1">
        <f>VLOOKUP($A16,'BASE PAN - OPEX'!$A$3:$BZ$22,78,FALSE)</f>
        <v>4117058.8352999999</v>
      </c>
      <c r="AF16" s="1">
        <f>VLOOKUP($A16,'BASE PAN - OPEX'!$A$3:$CC$22,81,FALSE)</f>
        <v>4125880.0208999999</v>
      </c>
      <c r="AG16" s="1">
        <f>VLOOKUP($A16,'BASE PAN - OPEX'!$A$3:$CF$22,84,FALSE)</f>
        <v>4134836.3243</v>
      </c>
      <c r="AH16" s="1">
        <f>VLOOKUP($A16,'BASE PAN - OPEX'!$A$3:$CI$22,87,FALSE)</f>
        <v>4143936.7853999999</v>
      </c>
      <c r="AI16" s="1">
        <f>VLOOKUP($A16,'BASE PAN - OPEX'!$A$3:$CL$22,90,FALSE)</f>
        <v>4153217.5639999998</v>
      </c>
      <c r="AJ16" s="1">
        <f>VLOOKUP($A16,'BASE PAN - OPEX'!$A$3:$CO$22,93,FALSE)</f>
        <v>4165931.1791563518</v>
      </c>
      <c r="AK16" s="1">
        <f>VLOOKUP($A16,'BASE PAN - OPEX'!$A$3:$CR$22,96,FALSE)</f>
        <v>4174672.58055567</v>
      </c>
      <c r="AL16" s="1">
        <f t="shared" si="1"/>
        <v>121098399.23721203</v>
      </c>
      <c r="AM16" s="1">
        <f t="shared" si="0"/>
        <v>59478605.43119999</v>
      </c>
      <c r="AN16" s="3">
        <f>VLOOKUP($A16,'BASE PAN - CAPEX'!$A$3:$H$22,8,FALSE)</f>
        <v>3</v>
      </c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</row>
    <row r="17" spans="1:40" x14ac:dyDescent="0.25">
      <c r="A17" t="s">
        <v>91</v>
      </c>
      <c r="B17" s="4" t="s">
        <v>132</v>
      </c>
      <c r="C17">
        <v>510677</v>
      </c>
      <c r="D17" t="s">
        <v>137</v>
      </c>
      <c r="E17" t="str">
        <f>VLOOKUP(A17,'BASE PAN - CAPEX'!A3:D22,2,FALSE)</f>
        <v>PORTO ALEGRE DO NORTE</v>
      </c>
      <c r="F17" t="s">
        <v>32</v>
      </c>
      <c r="G17" t="s">
        <v>28</v>
      </c>
      <c r="H17" s="1">
        <f>VLOOKUP($A17,'BASE PAN - OPEX'!$A$3:$F$22,6,FALSE)</f>
        <v>1122254.3543</v>
      </c>
      <c r="I17" s="1">
        <f>VLOOKUP($A17,'BASE PAN - OPEX'!$A$3:$J$22,10,FALSE)</f>
        <v>1122262.0016999999</v>
      </c>
      <c r="J17" s="1">
        <f>VLOOKUP($A17,'BASE PAN - OPEX'!$A$3:$N$22,14,FALSE)</f>
        <v>1122267.1000000001</v>
      </c>
      <c r="K17" s="1">
        <f>VLOOKUP($A17,'BASE PAN - OPEX'!$A$3:$R$22,18,FALSE)</f>
        <v>1122274.7475000001</v>
      </c>
      <c r="L17" s="1">
        <f>VLOOKUP($A17,'BASE PAN - OPEX'!$A$3:$U$22,21,FALSE)</f>
        <v>1122282.3949</v>
      </c>
      <c r="M17" s="1">
        <f>VLOOKUP($A17,'BASE PAN - OPEX'!$A$3:$X$22,24,FALSE)</f>
        <v>1122290.0423000001</v>
      </c>
      <c r="N17" s="1">
        <f>VLOOKUP($A17,'BASE PAN - OPEX'!$A$3:$AA$22,27,FALSE)</f>
        <v>1122295.1406</v>
      </c>
      <c r="O17" s="1">
        <f>VLOOKUP($A17,'BASE PAN - OPEX'!$A$3:$AD$22,30,FALSE)</f>
        <v>1122302.7881</v>
      </c>
      <c r="P17" s="1">
        <f>VLOOKUP($A17,'BASE PAN - OPEX'!$A$3:$AG$22,33,FALSE)</f>
        <v>1122310.4354999999</v>
      </c>
      <c r="Q17" s="1">
        <f>VLOOKUP($A17,'BASE PAN - OPEX'!$A$3:$AJ$22,36,FALSE)</f>
        <v>1122318.0829</v>
      </c>
      <c r="R17" s="1">
        <f>VLOOKUP($A17,'BASE PAN - OPEX'!$A$3:$AM$22,39,FALSE)</f>
        <v>1122325.7304</v>
      </c>
      <c r="S17" s="1">
        <f>VLOOKUP($A17,'BASE PAN - OPEX'!$A$3:$AP$22,42,FALSE)</f>
        <v>1122330.8287</v>
      </c>
      <c r="T17" s="1">
        <f>VLOOKUP($A17,'BASE PAN - OPEX'!$A$3:$AS$22,45,FALSE)</f>
        <v>1122338.4761000001</v>
      </c>
      <c r="U17" s="1">
        <f>VLOOKUP($A17,'BASE PAN - OPEX'!$A$3:$AV$22,48,FALSE)</f>
        <v>1122346.1235</v>
      </c>
      <c r="V17" s="1">
        <f>VLOOKUP($A17,'BASE PAN - OPEX'!$A$3:$AY$22,51,FALSE)</f>
        <v>1122353.7709999999</v>
      </c>
      <c r="W17" s="1">
        <f>VLOOKUP($A17,'BASE PAN - OPEX'!$A$3:$BB$22,54,FALSE)</f>
        <v>1122361.4184000001</v>
      </c>
      <c r="X17" s="1">
        <f>VLOOKUP($A17,'BASE PAN - OPEX'!$A$3:$BE$22,57,FALSE)</f>
        <v>1122369.0658</v>
      </c>
      <c r="Y17" s="1">
        <f>VLOOKUP($A17,'BASE PAN - OPEX'!$A$3:$BH$22,60,FALSE)</f>
        <v>1122376.7132999999</v>
      </c>
      <c r="Z17" s="1">
        <f>VLOOKUP($A17,'BASE PAN - OPEX'!$A$3:$BK$22,63,FALSE)</f>
        <v>1122384.3607000001</v>
      </c>
      <c r="AA17" s="1">
        <f>VLOOKUP($A17,'BASE PAN - OPEX'!$A$3:$BN$22,66,FALSE)</f>
        <v>1122392.0081</v>
      </c>
      <c r="AB17" s="1">
        <f>VLOOKUP($A17,'BASE PAN - OPEX'!$A$3:$BQ$22,69,FALSE)</f>
        <v>1122399.6555999999</v>
      </c>
      <c r="AC17" s="1">
        <f>VLOOKUP($A17,'BASE PAN - OPEX'!$A$3:$BT$22,72,FALSE)</f>
        <v>1122407.3030000001</v>
      </c>
      <c r="AD17" s="1">
        <f>VLOOKUP($A17,'BASE PAN - OPEX'!$A$3:$BW$22,75,FALSE)</f>
        <v>1122414.9505</v>
      </c>
      <c r="AE17" s="1">
        <f>VLOOKUP($A17,'BASE PAN - OPEX'!$A$3:$BZ$22,78,FALSE)</f>
        <v>1122422.5978999999</v>
      </c>
      <c r="AF17" s="1">
        <f>VLOOKUP($A17,'BASE PAN - OPEX'!$A$3:$CC$22,81,FALSE)</f>
        <v>1122430.2453000001</v>
      </c>
      <c r="AG17" s="1">
        <f>VLOOKUP($A17,'BASE PAN - OPEX'!$A$3:$CF$22,84,FALSE)</f>
        <v>1122437.8928</v>
      </c>
      <c r="AH17" s="1">
        <f>VLOOKUP($A17,'BASE PAN - OPEX'!$A$3:$CI$22,87,FALSE)</f>
        <v>1122445.5401999999</v>
      </c>
      <c r="AI17" s="1">
        <f>VLOOKUP($A17,'BASE PAN - OPEX'!$A$3:$CL$22,90,FALSE)</f>
        <v>1122454.6710000001</v>
      </c>
      <c r="AJ17" s="1">
        <f>VLOOKUP($A17,'BASE PAN - OPEX'!$A$3:$CO$22,93,FALSE)</f>
        <v>1122459.0238547619</v>
      </c>
      <c r="AK17" s="1">
        <f>VLOOKUP($A17,'BASE PAN - OPEX'!$A$3:$CR$22,96,FALSE)</f>
        <v>1122466.6233173469</v>
      </c>
      <c r="AL17" s="1">
        <f t="shared" si="1"/>
        <v>33670774.087272108</v>
      </c>
      <c r="AM17" s="1">
        <f t="shared" si="0"/>
        <v>16834552.017500002</v>
      </c>
      <c r="AN17" s="3">
        <f>VLOOKUP($A17,'BASE PAN - CAPEX'!$A$3:$H$22,8,FALSE)</f>
        <v>0</v>
      </c>
    </row>
    <row r="18" spans="1:40" s="17" customFormat="1" x14ac:dyDescent="0.25">
      <c r="A18" s="17" t="s">
        <v>154</v>
      </c>
      <c r="B18" s="30" t="s">
        <v>155</v>
      </c>
      <c r="C18" s="17">
        <v>260110</v>
      </c>
      <c r="D18" s="17" t="s">
        <v>156</v>
      </c>
      <c r="E18" s="17" t="s">
        <v>155</v>
      </c>
      <c r="F18" s="17" t="s">
        <v>31</v>
      </c>
      <c r="G18" s="17" t="s">
        <v>28</v>
      </c>
      <c r="H18" s="1">
        <f>VLOOKUP($A18,'BASE PAN - OPEX'!$A$3:$F$22,6,FALSE)</f>
        <v>1331907.3647</v>
      </c>
      <c r="I18" s="1">
        <f>VLOOKUP($A18,'BASE PAN - OPEX'!$A$3:$J$22,10,FALSE)</f>
        <v>1331922.6595999999</v>
      </c>
      <c r="J18" s="1">
        <f>VLOOKUP($A18,'BASE PAN - OPEX'!$A$3:$N$22,14,FALSE)</f>
        <v>1331940.5035999999</v>
      </c>
      <c r="K18" s="1">
        <f>VLOOKUP($A18,'BASE PAN - OPEX'!$A$3:$R$22,18,FALSE)</f>
        <v>1331958.3476</v>
      </c>
      <c r="L18" s="1">
        <f>VLOOKUP($A18,'BASE PAN - OPEX'!$A$3:$U$22,21,FALSE)</f>
        <v>1331973.6425000001</v>
      </c>
      <c r="M18" s="1">
        <f>VLOOKUP($A18,'BASE PAN - OPEX'!$A$3:$X$22,24,FALSE)</f>
        <v>1331991.4865000001</v>
      </c>
      <c r="N18" s="1">
        <f>VLOOKUP($A18,'BASE PAN - OPEX'!$A$3:$AA$22,27,FALSE)</f>
        <v>1332009.3304999999</v>
      </c>
      <c r="O18" s="1">
        <f>VLOOKUP($A18,'BASE PAN - OPEX'!$A$3:$AD$22,30,FALSE)</f>
        <v>1332027.1745</v>
      </c>
      <c r="P18" s="1">
        <f>VLOOKUP($A18,'BASE PAN - OPEX'!$A$3:$AG$22,33,FALSE)</f>
        <v>1332045.0186000001</v>
      </c>
      <c r="Q18" s="1">
        <f>VLOOKUP($A18,'BASE PAN - OPEX'!$A$3:$AJ$22,36,FALSE)</f>
        <v>1332062.8626000001</v>
      </c>
      <c r="R18" s="1">
        <f>VLOOKUP($A18,'BASE PAN - OPEX'!$A$3:$AM$22,39,FALSE)</f>
        <v>1332080.7065999999</v>
      </c>
      <c r="S18" s="1">
        <f>VLOOKUP($A18,'BASE PAN - OPEX'!$A$3:$AP$22,42,FALSE)</f>
        <v>1332101.0998</v>
      </c>
      <c r="T18" s="1">
        <f>VLOOKUP($A18,'BASE PAN - OPEX'!$A$3:$AS$22,45,FALSE)</f>
        <v>1332120.4271</v>
      </c>
      <c r="U18" s="1">
        <f>VLOOKUP($A18,'BASE PAN - OPEX'!$A$3:$AV$22,48,FALSE)</f>
        <v>1332140.8203</v>
      </c>
      <c r="V18" s="1">
        <f>VLOOKUP($A18,'BASE PAN - OPEX'!$A$3:$AY$22,51,FALSE)</f>
        <v>1332158.6643000001</v>
      </c>
      <c r="W18" s="1">
        <f>VLOOKUP($A18,'BASE PAN - OPEX'!$A$3:$BB$22,54,FALSE)</f>
        <v>1332179.0575000001</v>
      </c>
      <c r="X18" s="1">
        <f>VLOOKUP($A18,'BASE PAN - OPEX'!$A$3:$BE$22,57,FALSE)</f>
        <v>1332199.4506000001</v>
      </c>
      <c r="Y18" s="1">
        <f>VLOOKUP($A18,'BASE PAN - OPEX'!$A$3:$BH$22,60,FALSE)</f>
        <v>1332219.8437999999</v>
      </c>
      <c r="Z18" s="1">
        <f>VLOOKUP($A18,'BASE PAN - OPEX'!$A$3:$BK$22,63,FALSE)</f>
        <v>1332240.237</v>
      </c>
      <c r="AA18" s="1">
        <f>VLOOKUP($A18,'BASE PAN - OPEX'!$A$3:$BN$22,66,FALSE)</f>
        <v>1332260.6301</v>
      </c>
      <c r="AB18" s="1">
        <f>VLOOKUP($A18,'BASE PAN - OPEX'!$A$3:$BQ$22,69,FALSE)</f>
        <v>1332281.0233</v>
      </c>
      <c r="AC18" s="1">
        <f>VLOOKUP($A18,'BASE PAN - OPEX'!$A$3:$BT$22,72,FALSE)</f>
        <v>1332303.9656</v>
      </c>
      <c r="AD18" s="1">
        <f>VLOOKUP($A18,'BASE PAN - OPEX'!$A$3:$BW$22,75,FALSE)</f>
        <v>1332324.3588</v>
      </c>
      <c r="AE18" s="1">
        <f>VLOOKUP($A18,'BASE PAN - OPEX'!$A$3:$BZ$22,78,FALSE)</f>
        <v>1332347.3011</v>
      </c>
      <c r="AF18" s="1">
        <f>VLOOKUP($A18,'BASE PAN - OPEX'!$A$3:$CC$22,81,FALSE)</f>
        <v>1332367.6942</v>
      </c>
      <c r="AG18" s="1">
        <f>VLOOKUP($A18,'BASE PAN - OPEX'!$A$3:$CF$22,84,FALSE)</f>
        <v>1332390.6365</v>
      </c>
      <c r="AH18" s="1">
        <f>VLOOKUP($A18,'BASE PAN - OPEX'!$A$3:$CI$22,87,FALSE)</f>
        <v>1332413.5788</v>
      </c>
      <c r="AI18" s="1">
        <f>VLOOKUP($A18,'BASE PAN - OPEX'!$A$3:$CL$22,90,FALSE)</f>
        <v>1332436.5212000001</v>
      </c>
      <c r="AJ18" s="1">
        <f>VLOOKUP($A18,'BASE PAN - OPEX'!$A$3:$CO$22,93,FALSE)</f>
        <v>1332441.4867285716</v>
      </c>
      <c r="AK18" s="1">
        <f>VLOOKUP($A18,'BASE PAN - OPEX'!$A$3:$CR$22,96,FALSE)</f>
        <v>1332462.2486397962</v>
      </c>
      <c r="AL18" s="1">
        <f t="shared" si="1"/>
        <v>39965308.142668374</v>
      </c>
      <c r="AM18" s="28">
        <f t="shared" si="0"/>
        <v>19980440.108799998</v>
      </c>
      <c r="AN18" s="3">
        <f>VLOOKUP($A18,'BASE PAN - CAPEX'!$A$3:$H$22,8,FALSE)</f>
        <v>0</v>
      </c>
    </row>
    <row r="19" spans="1:40" s="17" customFormat="1" x14ac:dyDescent="0.25">
      <c r="A19" s="17" t="s">
        <v>157</v>
      </c>
      <c r="B19" s="30" t="s">
        <v>158</v>
      </c>
      <c r="C19" s="17">
        <v>260600</v>
      </c>
      <c r="D19" s="17" t="s">
        <v>159</v>
      </c>
      <c r="E19" s="17" t="s">
        <v>158</v>
      </c>
      <c r="F19" s="17" t="s">
        <v>31</v>
      </c>
      <c r="G19" s="17" t="s">
        <v>28</v>
      </c>
      <c r="H19" s="1">
        <f>VLOOKUP($A19,'BASE PAN - OPEX'!$A$3:$F$22,6,FALSE)</f>
        <v>1331907.3647</v>
      </c>
      <c r="I19" s="1">
        <f>VLOOKUP($A19,'BASE PAN - OPEX'!$A$3:$J$22,10,FALSE)</f>
        <v>1331920.1103999999</v>
      </c>
      <c r="J19" s="1">
        <f>VLOOKUP($A19,'BASE PAN - OPEX'!$A$3:$N$22,14,FALSE)</f>
        <v>1331935.4053</v>
      </c>
      <c r="K19" s="1">
        <f>VLOOKUP($A19,'BASE PAN - OPEX'!$A$3:$R$22,18,FALSE)</f>
        <v>1331948.1510000001</v>
      </c>
      <c r="L19" s="1">
        <f>VLOOKUP($A19,'BASE PAN - OPEX'!$A$3:$U$22,21,FALSE)</f>
        <v>1331963.4458999999</v>
      </c>
      <c r="M19" s="1">
        <f>VLOOKUP($A19,'BASE PAN - OPEX'!$A$3:$X$22,24,FALSE)</f>
        <v>1331978.7408</v>
      </c>
      <c r="N19" s="1">
        <f>VLOOKUP($A19,'BASE PAN - OPEX'!$A$3:$AA$22,27,FALSE)</f>
        <v>1331991.4865000001</v>
      </c>
      <c r="O19" s="1">
        <f>VLOOKUP($A19,'BASE PAN - OPEX'!$A$3:$AD$22,30,FALSE)</f>
        <v>1332006.7814</v>
      </c>
      <c r="P19" s="1">
        <f>VLOOKUP($A19,'BASE PAN - OPEX'!$A$3:$AG$22,33,FALSE)</f>
        <v>1332022.0762</v>
      </c>
      <c r="Q19" s="1">
        <f>VLOOKUP($A19,'BASE PAN - OPEX'!$A$3:$AJ$22,36,FALSE)</f>
        <v>1332037.3711000001</v>
      </c>
      <c r="R19" s="1">
        <f>VLOOKUP($A19,'BASE PAN - OPEX'!$A$3:$AM$22,39,FALSE)</f>
        <v>1332052.666</v>
      </c>
      <c r="S19" s="1">
        <f>VLOOKUP($A19,'BASE PAN - OPEX'!$A$3:$AP$22,42,FALSE)</f>
        <v>1332067.9609000001</v>
      </c>
      <c r="T19" s="1">
        <f>VLOOKUP($A19,'BASE PAN - OPEX'!$A$3:$AS$22,45,FALSE)</f>
        <v>1332083.2557000001</v>
      </c>
      <c r="U19" s="1">
        <f>VLOOKUP($A19,'BASE PAN - OPEX'!$A$3:$AV$22,48,FALSE)</f>
        <v>1332098.5506</v>
      </c>
      <c r="V19" s="1">
        <f>VLOOKUP($A19,'BASE PAN - OPEX'!$A$3:$AY$22,51,FALSE)</f>
        <v>1332115.3288</v>
      </c>
      <c r="W19" s="1">
        <f>VLOOKUP($A19,'BASE PAN - OPEX'!$A$3:$BB$22,54,FALSE)</f>
        <v>1332133.1728999999</v>
      </c>
      <c r="X19" s="1">
        <f>VLOOKUP($A19,'BASE PAN - OPEX'!$A$3:$BE$22,57,FALSE)</f>
        <v>1332148.4676999999</v>
      </c>
      <c r="Y19" s="1">
        <f>VLOOKUP($A19,'BASE PAN - OPEX'!$A$3:$BH$22,60,FALSE)</f>
        <v>1332166.3117</v>
      </c>
      <c r="Z19" s="1">
        <f>VLOOKUP($A19,'BASE PAN - OPEX'!$A$3:$BK$22,63,FALSE)</f>
        <v>1332181.6066000001</v>
      </c>
      <c r="AA19" s="1">
        <f>VLOOKUP($A19,'BASE PAN - OPEX'!$A$3:$BN$22,66,FALSE)</f>
        <v>1332199.4506000001</v>
      </c>
      <c r="AB19" s="1">
        <f>VLOOKUP($A19,'BASE PAN - OPEX'!$A$3:$BQ$22,69,FALSE)</f>
        <v>1332214.7455</v>
      </c>
      <c r="AC19" s="1">
        <f>VLOOKUP($A19,'BASE PAN - OPEX'!$A$3:$BT$22,72,FALSE)</f>
        <v>1332232.5895</v>
      </c>
      <c r="AD19" s="1">
        <f>VLOOKUP($A19,'BASE PAN - OPEX'!$A$3:$BW$22,75,FALSE)</f>
        <v>1332250.4335</v>
      </c>
      <c r="AE19" s="1">
        <f>VLOOKUP($A19,'BASE PAN - OPEX'!$A$3:$BZ$22,78,FALSE)</f>
        <v>1332268.2775999999</v>
      </c>
      <c r="AF19" s="1">
        <f>VLOOKUP($A19,'BASE PAN - OPEX'!$A$3:$CC$22,81,FALSE)</f>
        <v>1332286.1216</v>
      </c>
      <c r="AG19" s="1">
        <f>VLOOKUP($A19,'BASE PAN - OPEX'!$A$3:$CF$22,84,FALSE)</f>
        <v>1332303.9656</v>
      </c>
      <c r="AH19" s="1">
        <f>VLOOKUP($A19,'BASE PAN - OPEX'!$A$3:$CI$22,87,FALSE)</f>
        <v>1332321.8096</v>
      </c>
      <c r="AI19" s="1">
        <f>VLOOKUP($A19,'BASE PAN - OPEX'!$A$3:$CL$22,90,FALSE)</f>
        <v>1332339.6536000001</v>
      </c>
      <c r="AJ19" s="1">
        <f>VLOOKUP($A19,'BASE PAN - OPEX'!$A$3:$CO$22,93,FALSE)</f>
        <v>1332346.0743634922</v>
      </c>
      <c r="AK19" s="1">
        <f>VLOOKUP($A19,'BASE PAN - OPEX'!$A$3:$CR$22,96,FALSE)</f>
        <v>1332362.9607463719</v>
      </c>
      <c r="AL19" s="1">
        <f t="shared" si="1"/>
        <v>39963884.336409867</v>
      </c>
      <c r="AM19" s="28">
        <f t="shared" si="0"/>
        <v>19980128.695300002</v>
      </c>
      <c r="AN19" s="3">
        <f>VLOOKUP($A19,'BASE PAN - CAPEX'!$A$3:$H$22,8,FALSE)</f>
        <v>0</v>
      </c>
    </row>
    <row r="20" spans="1:40" s="17" customFormat="1" x14ac:dyDescent="0.25">
      <c r="A20" s="17" t="s">
        <v>317</v>
      </c>
      <c r="B20" s="30" t="str">
        <f>VLOOKUP(A20,'CAPEX - Navegação Aérea'!$A$3:$B$22,2,FALSE)</f>
        <v>COMANDANTE ARISTON PESSOA</v>
      </c>
      <c r="C20" s="17">
        <f>VLOOKUP(A20,'[10]FLUXO DE CAIXA DESC.-BLOCOS PAN'!$A$3:$C$251,3,FALSE)</f>
        <v>230110</v>
      </c>
      <c r="D20" s="17" t="str">
        <f>VLOOKUP(A20,'[10]FLUXO DE CAIXA DESC.-BLOCOS PAN'!$A$3:$D$251,4,FALSE)</f>
        <v>SNAT230110</v>
      </c>
      <c r="E20" s="17" t="s">
        <v>318</v>
      </c>
      <c r="F20" s="17" t="s">
        <v>323</v>
      </c>
      <c r="G20" s="17" t="s">
        <v>28</v>
      </c>
      <c r="H20" s="28">
        <f>VLOOKUP($A20,'BASE PAN - OPEX'!$A$3:$F$22,6,FALSE)</f>
        <v>5743125.3203999996</v>
      </c>
      <c r="I20" s="28">
        <f>VLOOKUP($A20,'BASE PAN - OPEX'!$A$3:$J$22,10,FALSE)</f>
        <v>5747038.8700000001</v>
      </c>
      <c r="J20" s="28">
        <f>VLOOKUP($A20,'BASE PAN - OPEX'!$A$3:$N$22,14,FALSE)</f>
        <v>5750339.5848000003</v>
      </c>
      <c r="K20" s="28">
        <f>VLOOKUP($A20,'BASE PAN - OPEX'!$A$3:$R$22,18,FALSE)</f>
        <v>5753399.2293999996</v>
      </c>
      <c r="L20" s="28">
        <f>VLOOKUP($A20,'BASE PAN - OPEX'!$A$3:$U$22,21,FALSE)</f>
        <v>5756241.8014000002</v>
      </c>
      <c r="M20" s="28">
        <f>VLOOKUP($A20,'BASE PAN - OPEX'!$A$3:$X$22,24,FALSE)</f>
        <v>5758966.9073999999</v>
      </c>
      <c r="N20" s="28">
        <f>VLOOKUP($A20,'BASE PAN - OPEX'!$A$3:$AA$22,27,FALSE)</f>
        <v>5761519.1599000003</v>
      </c>
      <c r="O20" s="28">
        <f>VLOOKUP($A20,'BASE PAN - OPEX'!$A$3:$AD$22,30,FALSE)</f>
        <v>5763865.4596999995</v>
      </c>
      <c r="P20" s="28">
        <f>VLOOKUP($A20,'BASE PAN - OPEX'!$A$3:$AG$22,33,FALSE)</f>
        <v>5766038.0096000005</v>
      </c>
      <c r="Q20" s="28">
        <f>VLOOKUP($A20,'BASE PAN - OPEX'!$A$3:$AJ$22,36,FALSE)</f>
        <v>5768195.9380000001</v>
      </c>
      <c r="R20" s="28">
        <f>VLOOKUP($A20,'BASE PAN - OPEX'!$A$3:$AM$22,39,FALSE)</f>
        <v>5770341.3082999997</v>
      </c>
      <c r="S20" s="28">
        <f>VLOOKUP($A20,'BASE PAN - OPEX'!$A$3:$AP$22,42,FALSE)</f>
        <v>5772523.9047999997</v>
      </c>
      <c r="T20" s="28">
        <f>VLOOKUP($A20,'BASE PAN - OPEX'!$A$3:$AS$22,45,FALSE)</f>
        <v>5774674.2982999999</v>
      </c>
      <c r="U20" s="28">
        <f>VLOOKUP($A20,'BASE PAN - OPEX'!$A$3:$AV$22,48,FALSE)</f>
        <v>5776836.8017999995</v>
      </c>
      <c r="V20" s="28">
        <f>VLOOKUP($A20,'BASE PAN - OPEX'!$A$3:$AY$22,51,FALSE)</f>
        <v>5779007.2883000001</v>
      </c>
      <c r="W20" s="28">
        <f>VLOOKUP($A20,'BASE PAN - OPEX'!$A$3:$BB$22,54,FALSE)</f>
        <v>5781233.0303999996</v>
      </c>
      <c r="X20" s="28">
        <f>VLOOKUP($A20,'BASE PAN - OPEX'!$A$3:$BE$22,57,FALSE)</f>
        <v>5783499.3159999996</v>
      </c>
      <c r="Y20" s="28">
        <f>VLOOKUP($A20,'BASE PAN - OPEX'!$A$3:$BH$22,60,FALSE)</f>
        <v>5785785.3369000005</v>
      </c>
      <c r="Z20" s="28">
        <f>VLOOKUP($A20,'BASE PAN - OPEX'!$A$3:$BK$22,63,FALSE)</f>
        <v>5788006.0558000002</v>
      </c>
      <c r="AA20" s="28">
        <f>VLOOKUP($A20,'BASE PAN - OPEX'!$A$3:$BN$22,66,FALSE)</f>
        <v>5790246.4194999998</v>
      </c>
      <c r="AB20" s="28">
        <f>VLOOKUP($A20,'BASE PAN - OPEX'!$A$3:$BQ$22,69,FALSE)</f>
        <v>5792479.6963999998</v>
      </c>
      <c r="AC20" s="28">
        <f>VLOOKUP($A20,'BASE PAN - OPEX'!$A$3:$BT$22,72,FALSE)</f>
        <v>5794704.9903999995</v>
      </c>
      <c r="AD20" s="28">
        <f>VLOOKUP($A20,'BASE PAN - OPEX'!$A$3:$BW$22,75,FALSE)</f>
        <v>5796910.6394999996</v>
      </c>
      <c r="AE20" s="28">
        <f>VLOOKUP($A20,'BASE PAN - OPEX'!$A$3:$BZ$22,78,FALSE)</f>
        <v>5799126.3350999998</v>
      </c>
      <c r="AF20" s="28">
        <f>VLOOKUP($A20,'BASE PAN - OPEX'!$A$3:$CC$22,81,FALSE)</f>
        <v>5801258.6991999997</v>
      </c>
      <c r="AG20" s="28">
        <f>VLOOKUP($A20,'BASE PAN - OPEX'!$A$3:$CF$22,84,FALSE)</f>
        <v>5803404.0695000002</v>
      </c>
      <c r="AH20" s="28">
        <f>VLOOKUP($A20,'BASE PAN - OPEX'!$A$3:$CI$22,87,FALSE)</f>
        <v>5805584.6024000002</v>
      </c>
      <c r="AI20" s="28">
        <f>VLOOKUP($A20,'BASE PAN - OPEX'!$A$3:$CL$22,90,FALSE)</f>
        <v>5807797.3382999999</v>
      </c>
      <c r="AJ20" s="28">
        <f>VLOOKUP($A20,'BASE PAN - OPEX'!$A$3:$CO$22,93,FALSE)</f>
        <v>5810887.7426166655</v>
      </c>
      <c r="AK20" s="28">
        <f>VLOOKUP($A20,'BASE PAN - OPEX'!$A$3:$CR$22,96,FALSE)</f>
        <v>5812912.2042007921</v>
      </c>
      <c r="AL20" s="28">
        <f t="shared" si="1"/>
        <v>173395950.35831743</v>
      </c>
      <c r="AM20" s="28">
        <f t="shared" si="0"/>
        <v>86442113.882099986</v>
      </c>
      <c r="AN20" s="29">
        <f>VLOOKUP($A20,'BASE PAN - CAPEX'!$A$3:$H$22,8,FALSE)</f>
        <v>3</v>
      </c>
    </row>
    <row r="21" spans="1:40" s="17" customFormat="1" x14ac:dyDescent="0.25">
      <c r="A21" s="17" t="s">
        <v>321</v>
      </c>
      <c r="B21" s="30" t="str">
        <f>VLOOKUP(A21,'CAPEX - Navegação Aérea'!$A$3:$B$22,2,FALSE)</f>
        <v>AEROPORTO REGIONAL DE CANOA QUEBRADA DRAGÃO DO MAR</v>
      </c>
      <c r="C21" s="17">
        <f>VLOOKUP(A21,'[10]FLUXO DE CAIXA DESC.-BLOCOS PAN'!$A$3:$C$251,3,FALSE)</f>
        <v>230425</v>
      </c>
      <c r="D21" s="17" t="str">
        <f>VLOOKUP(A21,'[10]FLUXO DE CAIXA DESC.-BLOCOS PAN'!$A$3:$D$251,4,FALSE)</f>
        <v>SBJE230425</v>
      </c>
      <c r="E21" s="17" t="s">
        <v>322</v>
      </c>
      <c r="F21" s="17" t="s">
        <v>323</v>
      </c>
      <c r="G21" s="17" t="s">
        <v>28</v>
      </c>
      <c r="H21" s="28">
        <f>VLOOKUP($A21,'BASE PAN - OPEX'!$A$3:$F$22,6,FALSE)</f>
        <v>8152684.2662000004</v>
      </c>
      <c r="I21" s="28">
        <f>VLOOKUP($A21,'BASE PAN - OPEX'!$A$3:$J$22,10,FALSE)</f>
        <v>8187925.6579999998</v>
      </c>
      <c r="J21" s="28">
        <f>VLOOKUP($A21,'BASE PAN - OPEX'!$A$3:$N$22,14,FALSE)</f>
        <v>8216742.5283000004</v>
      </c>
      <c r="K21" s="28">
        <f>VLOOKUP($A21,'BASE PAN - OPEX'!$A$3:$R$22,18,FALSE)</f>
        <v>8242506.9885999998</v>
      </c>
      <c r="L21" s="28">
        <f>VLOOKUP($A21,'BASE PAN - OPEX'!$A$3:$U$22,21,FALSE)</f>
        <v>8266037.0718999999</v>
      </c>
      <c r="M21" s="28">
        <f>VLOOKUP($A21,'BASE PAN - OPEX'!$A$3:$X$22,24,FALSE)</f>
        <v>8288202.8031000001</v>
      </c>
      <c r="N21" s="28">
        <f>VLOOKUP($A21,'BASE PAN - OPEX'!$A$3:$AA$22,27,FALSE)</f>
        <v>8308276.9622999998</v>
      </c>
      <c r="O21" s="28">
        <f>VLOOKUP($A21,'BASE PAN - OPEX'!$A$3:$AD$22,30,FALSE)</f>
        <v>8326195.9601999996</v>
      </c>
      <c r="P21" s="28">
        <f>VLOOKUP($A21,'BASE PAN - OPEX'!$A$3:$AG$22,33,FALSE)</f>
        <v>8342291.0591000002</v>
      </c>
      <c r="Q21" s="28">
        <f>VLOOKUP($A21,'BASE PAN - OPEX'!$A$3:$AJ$22,36,FALSE)</f>
        <v>8358141.2825999996</v>
      </c>
      <c r="R21" s="28">
        <f>VLOOKUP($A21,'BASE PAN - OPEX'!$A$3:$AM$22,39,FALSE)</f>
        <v>8373554.6886</v>
      </c>
      <c r="S21" s="28">
        <f>VLOOKUP($A21,'BASE PAN - OPEX'!$A$3:$AP$22,42,FALSE)</f>
        <v>8389280.8739</v>
      </c>
      <c r="T21" s="28">
        <f>VLOOKUP($A21,'BASE PAN - OPEX'!$A$3:$AS$22,45,FALSE)</f>
        <v>8404368.5856999997</v>
      </c>
      <c r="U21" s="28">
        <f>VLOOKUP($A21,'BASE PAN - OPEX'!$A$3:$AV$22,48,FALSE)</f>
        <v>8419654.0538999997</v>
      </c>
      <c r="V21" s="28">
        <f>VLOOKUP($A21,'BASE PAN - OPEX'!$A$3:$AY$22,51,FALSE)</f>
        <v>8434574.9958999995</v>
      </c>
      <c r="W21" s="28">
        <f>VLOOKUP($A21,'BASE PAN - OPEX'!$A$3:$BB$22,54,FALSE)</f>
        <v>8449861.2679999992</v>
      </c>
      <c r="X21" s="28">
        <f>VLOOKUP($A21,'BASE PAN - OPEX'!$A$3:$BE$22,57,FALSE)</f>
        <v>8465167.5112999994</v>
      </c>
      <c r="Y21" s="28">
        <f>VLOOKUP($A21,'BASE PAN - OPEX'!$A$3:$BH$22,60,FALSE)</f>
        <v>8480487.2949000001</v>
      </c>
      <c r="Z21" s="28">
        <f>VLOOKUP($A21,'BASE PAN - OPEX'!$A$3:$BK$22,63,FALSE)</f>
        <v>8494974.2778999992</v>
      </c>
      <c r="AA21" s="28">
        <f>VLOOKUP($A21,'BASE PAN - OPEX'!$A$3:$BN$22,66,FALSE)</f>
        <v>8509540.8875999991</v>
      </c>
      <c r="AB21" s="28">
        <f>VLOOKUP($A21,'BASE PAN - OPEX'!$A$3:$BQ$22,69,FALSE)</f>
        <v>8523539.1666999999</v>
      </c>
      <c r="AC21" s="28">
        <f>VLOOKUP($A21,'BASE PAN - OPEX'!$A$3:$BT$22,72,FALSE)</f>
        <v>8536736.9188000001</v>
      </c>
      <c r="AD21" s="28">
        <f>VLOOKUP($A21,'BASE PAN - OPEX'!$A$3:$BW$22,75,FALSE)</f>
        <v>8549240.9931000005</v>
      </c>
      <c r="AE21" s="28">
        <f>VLOOKUP($A21,'BASE PAN - OPEX'!$A$3:$BZ$22,78,FALSE)</f>
        <v>8561593.4077000003</v>
      </c>
      <c r="AF21" s="28">
        <f>VLOOKUP($A21,'BASE PAN - OPEX'!$A$3:$CC$22,81,FALSE)</f>
        <v>8572864.3159999996</v>
      </c>
      <c r="AG21" s="28">
        <f>VLOOKUP($A21,'BASE PAN - OPEX'!$A$3:$CF$22,84,FALSE)</f>
        <v>8583907.9000000004</v>
      </c>
      <c r="AH21" s="28">
        <f>VLOOKUP($A21,'BASE PAN - OPEX'!$A$3:$CI$22,87,FALSE)</f>
        <v>8595164.7067000009</v>
      </c>
      <c r="AI21" s="28">
        <f>VLOOKUP($A21,'BASE PAN - OPEX'!$A$3:$CL$22,90,FALSE)</f>
        <v>8606499.5614999998</v>
      </c>
      <c r="AJ21" s="28">
        <f>VLOOKUP($A21,'BASE PAN - OPEX'!$A$3:$CO$22,93,FALSE)</f>
        <v>8646716.7724007964</v>
      </c>
      <c r="AK21" s="28">
        <f>VLOOKUP($A21,'BASE PAN - OPEX'!$A$3:$CR$22,96,FALSE)</f>
        <v>8658841.6023747213</v>
      </c>
      <c r="AL21" s="28">
        <f t="shared" si="1"/>
        <v>252945574.36327559</v>
      </c>
      <c r="AM21" s="28">
        <f t="shared" si="0"/>
        <v>124710437.77830002</v>
      </c>
      <c r="AN21" s="29">
        <f>VLOOKUP($A21,'BASE PAN - CAPEX'!$A$3:$H$22,8,FALSE)</f>
        <v>4</v>
      </c>
    </row>
    <row r="22" spans="1:40" x14ac:dyDescent="0.25">
      <c r="H22" s="27">
        <f t="shared" ref="H22" si="2">SUBTOTAL(109,H3:H21)</f>
        <v>64676229.400599994</v>
      </c>
      <c r="I22" s="27">
        <f t="shared" ref="I22" si="3">SUBTOTAL(109,I3:I21)</f>
        <v>64807559.820899986</v>
      </c>
      <c r="J22" s="27">
        <f t="shared" ref="J22" si="4">SUBTOTAL(109,J3:J21)</f>
        <v>64912659.434199996</v>
      </c>
      <c r="K22" s="27">
        <f t="shared" ref="K22" si="5">SUBTOTAL(109,K3:K21)</f>
        <v>65006963.783600003</v>
      </c>
      <c r="L22" s="27">
        <f t="shared" ref="L22" si="6">SUBTOTAL(109,L3:L21)</f>
        <v>65094044.535900004</v>
      </c>
      <c r="M22" s="27">
        <f t="shared" ref="M22" si="7">SUBTOTAL(109,M3:M21)</f>
        <v>65176790.91489999</v>
      </c>
      <c r="N22" s="27">
        <f t="shared" ref="N22" si="8">SUBTOTAL(109,N3:N21)</f>
        <v>65255926.289200015</v>
      </c>
      <c r="O22" s="27">
        <f t="shared" ref="O22" si="9">SUBTOTAL(109,O3:O21)</f>
        <v>65329929.895700008</v>
      </c>
      <c r="P22" s="27">
        <f t="shared" ref="P22" si="10">SUBTOTAL(109,P3:P21)</f>
        <v>65395385.710500009</v>
      </c>
      <c r="Q22" s="27">
        <f t="shared" ref="Q22" si="11">SUBTOTAL(109,Q3:Q21)</f>
        <v>65464140.363899998</v>
      </c>
      <c r="R22" s="27">
        <f t="shared" ref="R22" si="12">SUBTOTAL(109,R3:R21)</f>
        <v>65528488.906300008</v>
      </c>
      <c r="S22" s="27">
        <f t="shared" ref="S22" si="13">SUBTOTAL(109,S3:S21)</f>
        <v>65598725.463899985</v>
      </c>
      <c r="T22" s="27">
        <f t="shared" ref="T22" si="14">SUBTOTAL(109,T3:T21)</f>
        <v>65663429.552899994</v>
      </c>
      <c r="U22" s="27">
        <f t="shared" ref="U22" si="15">SUBTOTAL(109,U3:U21)</f>
        <v>65730271.601799995</v>
      </c>
      <c r="V22" s="27">
        <f t="shared" ref="V22" si="16">SUBTOTAL(109,V3:V21)</f>
        <v>65798329.448400006</v>
      </c>
      <c r="W22" s="27">
        <f t="shared" ref="W22" si="17">SUBTOTAL(109,W3:W21)</f>
        <v>65866757.640599996</v>
      </c>
      <c r="X22" s="27">
        <f t="shared" ref="X22" si="18">SUBTOTAL(109,X3:X21)</f>
        <v>65936634.688599981</v>
      </c>
      <c r="Y22" s="27">
        <f t="shared" ref="Y22" si="19">SUBTOTAL(109,Y3:Y21)</f>
        <v>66006662.40640001</v>
      </c>
      <c r="Z22" s="27">
        <f t="shared" ref="Z22" si="20">SUBTOTAL(109,Z3:Z21)</f>
        <v>66076032.014600009</v>
      </c>
      <c r="AA22" s="27">
        <f t="shared" ref="AA22" si="21">SUBTOTAL(109,AA3:AA21)</f>
        <v>66144707.483199991</v>
      </c>
      <c r="AB22" s="27">
        <f t="shared" ref="AB22" si="22">SUBTOTAL(109,AB3:AB21)</f>
        <v>66214743.448099993</v>
      </c>
      <c r="AC22" s="27">
        <f t="shared" ref="AC22" si="23">SUBTOTAL(109,AC3:AC21)</f>
        <v>66279464.311100006</v>
      </c>
      <c r="AD22" s="27">
        <f t="shared" ref="AD22" si="24">SUBTOTAL(109,AD3:AD21)</f>
        <v>66345221.463000007</v>
      </c>
      <c r="AE22" s="27">
        <f t="shared" ref="AE22" si="25">SUBTOTAL(109,AE3:AE21)</f>
        <v>66409461.989100009</v>
      </c>
      <c r="AF22" s="27">
        <f t="shared" ref="AF22" si="26">SUBTOTAL(109,AF3:AF21)</f>
        <v>66472667.154100008</v>
      </c>
      <c r="AG22" s="27">
        <f t="shared" ref="AG22" si="27">SUBTOTAL(109,AG3:AG21)</f>
        <v>66534655.1778</v>
      </c>
      <c r="AH22" s="27">
        <f t="shared" ref="AH22" si="28">SUBTOTAL(109,AH3:AH21)</f>
        <v>66597746.823900014</v>
      </c>
      <c r="AI22" s="27">
        <f t="shared" ref="AI22:AK22" si="29">SUBTOTAL(109,AI3:AI21)</f>
        <v>66661963.920100003</v>
      </c>
      <c r="AJ22" s="27">
        <f t="shared" si="29"/>
        <v>66771832.489296034</v>
      </c>
      <c r="AK22" s="27">
        <f t="shared" si="29"/>
        <v>66832703.006518483</v>
      </c>
      <c r="AL22" s="27">
        <f t="shared" ref="AL22" si="30">SUBTOTAL(109,AL3:AL21)</f>
        <v>1974590129.1391141</v>
      </c>
      <c r="AM22" s="27">
        <f t="shared" ref="AM22" si="31">SUBTOTAL(109,AM3:AM21)</f>
        <v>979438875.1227001</v>
      </c>
    </row>
    <row r="23" spans="1:40" x14ac:dyDescent="0.25">
      <c r="H23" s="27">
        <f>H22</f>
        <v>64676229.400599994</v>
      </c>
      <c r="I23" s="27">
        <f>H23+I22</f>
        <v>129483789.22149998</v>
      </c>
      <c r="J23" s="27">
        <f t="shared" ref="J23:AI23" si="32">I23+J22</f>
        <v>194396448.65569997</v>
      </c>
      <c r="K23" s="27">
        <f t="shared" si="32"/>
        <v>259403412.43929997</v>
      </c>
      <c r="L23" s="27">
        <f t="shared" si="32"/>
        <v>324497456.9752</v>
      </c>
      <c r="M23" s="27">
        <f t="shared" si="32"/>
        <v>389674247.8901</v>
      </c>
      <c r="N23" s="27">
        <f t="shared" si="32"/>
        <v>454930174.17930001</v>
      </c>
      <c r="O23" s="27">
        <f t="shared" si="32"/>
        <v>520260104.07500005</v>
      </c>
      <c r="P23" s="27">
        <f t="shared" si="32"/>
        <v>585655489.78550005</v>
      </c>
      <c r="Q23" s="27">
        <f t="shared" si="32"/>
        <v>651119630.1494</v>
      </c>
      <c r="R23" s="27">
        <f t="shared" si="32"/>
        <v>716648119.05570006</v>
      </c>
      <c r="S23" s="27">
        <f t="shared" si="32"/>
        <v>782246844.51960003</v>
      </c>
      <c r="T23" s="27">
        <f t="shared" si="32"/>
        <v>847910274.07249999</v>
      </c>
      <c r="U23" s="27">
        <f t="shared" si="32"/>
        <v>913640545.67429996</v>
      </c>
      <c r="V23" s="27">
        <f t="shared" si="32"/>
        <v>979438875.12269998</v>
      </c>
      <c r="W23" s="27">
        <f t="shared" si="32"/>
        <v>1045305632.7632999</v>
      </c>
      <c r="X23" s="27">
        <f t="shared" si="32"/>
        <v>1111242267.4519</v>
      </c>
      <c r="Y23" s="27">
        <f t="shared" si="32"/>
        <v>1177248929.8583</v>
      </c>
      <c r="Z23" s="27">
        <f t="shared" si="32"/>
        <v>1243324961.8729</v>
      </c>
      <c r="AA23" s="27">
        <f t="shared" si="32"/>
        <v>1309469669.3561001</v>
      </c>
      <c r="AB23" s="27">
        <f t="shared" si="32"/>
        <v>1375684412.8042002</v>
      </c>
      <c r="AC23" s="27">
        <f t="shared" si="32"/>
        <v>1441963877.1153002</v>
      </c>
      <c r="AD23" s="27">
        <f t="shared" si="32"/>
        <v>1508309098.5783002</v>
      </c>
      <c r="AE23" s="27">
        <f t="shared" si="32"/>
        <v>1574718560.5674002</v>
      </c>
      <c r="AF23" s="27">
        <f t="shared" si="32"/>
        <v>1641191227.7215002</v>
      </c>
      <c r="AG23" s="27">
        <f t="shared" si="32"/>
        <v>1707725882.8993001</v>
      </c>
      <c r="AH23" s="27">
        <f t="shared" si="32"/>
        <v>1774323629.7232001</v>
      </c>
      <c r="AI23" s="27">
        <f t="shared" si="32"/>
        <v>1840985593.6433001</v>
      </c>
      <c r="AJ23" s="27">
        <f t="shared" ref="AJ23" si="33">AI23+AJ22</f>
        <v>1907757426.132596</v>
      </c>
      <c r="AK23" s="27">
        <f t="shared" ref="AK23" si="34">AJ23+AK22</f>
        <v>1974590129.1391144</v>
      </c>
    </row>
    <row r="28" spans="1:40" x14ac:dyDescent="0.25">
      <c r="A28" s="23" t="s">
        <v>146</v>
      </c>
    </row>
  </sheetData>
  <autoFilter ref="A2:AL23" xr:uid="{BA42F879-3315-47F0-B31D-D4DFA9236423}"/>
  <conditionalFormatting sqref="A3:A16">
    <cfRule type="duplicateValues" dxfId="3" priority="403"/>
  </conditionalFormatting>
  <conditionalFormatting sqref="D3:D16">
    <cfRule type="duplicateValues" dxfId="2" priority="405"/>
  </conditionalFormatting>
  <hyperlinks>
    <hyperlink ref="A28" location="Introdução!A1" display="Introdução!A1" xr:uid="{A9DBE44E-3DF1-4651-9A11-6DB5A373EA36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BB29-228C-4F2C-98D3-4C909DC92161}">
  <sheetPr codeName="Planilha17">
    <tabColor rgb="FF00B0F0"/>
  </sheetPr>
  <dimension ref="A1:AO28"/>
  <sheetViews>
    <sheetView workbookViewId="0"/>
  </sheetViews>
  <sheetFormatPr defaultRowHeight="15" x14ac:dyDescent="0.25"/>
  <cols>
    <col min="1" max="1" width="7" bestFit="1" customWidth="1"/>
    <col min="2" max="2" width="20.85546875" customWidth="1"/>
    <col min="3" max="3" width="7.42578125" bestFit="1" customWidth="1"/>
    <col min="4" max="4" width="13.140625" bestFit="1" customWidth="1"/>
    <col min="5" max="5" width="18.7109375" customWidth="1"/>
    <col min="6" max="6" width="3.85546875" bestFit="1" customWidth="1"/>
    <col min="7" max="7" width="7.42578125" customWidth="1"/>
    <col min="8" max="35" width="19.42578125" bestFit="1" customWidth="1"/>
    <col min="36" max="37" width="19.42578125" customWidth="1"/>
    <col min="38" max="38" width="20.42578125" bestFit="1" customWidth="1"/>
    <col min="39" max="39" width="19.42578125" bestFit="1" customWidth="1"/>
    <col min="40" max="40" width="18" bestFit="1" customWidth="1"/>
  </cols>
  <sheetData>
    <row r="1" spans="1:40" x14ac:dyDescent="0.25">
      <c r="A1" s="2" t="s">
        <v>0</v>
      </c>
      <c r="B1" s="2" t="s">
        <v>92</v>
      </c>
      <c r="C1" s="2" t="s">
        <v>93</v>
      </c>
      <c r="D1" s="2" t="s">
        <v>2</v>
      </c>
      <c r="E1" s="2" t="s">
        <v>3</v>
      </c>
      <c r="F1" s="2" t="s">
        <v>4</v>
      </c>
      <c r="G1" s="2" t="s">
        <v>94</v>
      </c>
      <c r="H1" s="2" t="s">
        <v>123</v>
      </c>
      <c r="I1" s="2" t="s">
        <v>123</v>
      </c>
      <c r="J1" s="2" t="s">
        <v>123</v>
      </c>
      <c r="K1" s="2" t="s">
        <v>123</v>
      </c>
      <c r="L1" s="2" t="s">
        <v>123</v>
      </c>
      <c r="M1" s="2" t="s">
        <v>123</v>
      </c>
      <c r="N1" s="2" t="s">
        <v>123</v>
      </c>
      <c r="O1" s="2" t="s">
        <v>123</v>
      </c>
      <c r="P1" s="2" t="s">
        <v>123</v>
      </c>
      <c r="Q1" s="2" t="s">
        <v>123</v>
      </c>
      <c r="R1" s="2" t="s">
        <v>123</v>
      </c>
      <c r="S1" s="2" t="s">
        <v>123</v>
      </c>
      <c r="T1" s="2" t="s">
        <v>123</v>
      </c>
      <c r="U1" s="2" t="s">
        <v>123</v>
      </c>
      <c r="V1" s="2" t="s">
        <v>123</v>
      </c>
      <c r="W1" s="2" t="s">
        <v>123</v>
      </c>
      <c r="X1" s="2" t="s">
        <v>123</v>
      </c>
      <c r="Y1" s="2" t="s">
        <v>123</v>
      </c>
      <c r="Z1" s="2" t="s">
        <v>123</v>
      </c>
      <c r="AA1" s="2" t="s">
        <v>123</v>
      </c>
      <c r="AB1" s="2" t="s">
        <v>123</v>
      </c>
      <c r="AC1" s="2" t="s">
        <v>123</v>
      </c>
      <c r="AD1" s="2" t="s">
        <v>123</v>
      </c>
      <c r="AE1" s="2" t="s">
        <v>123</v>
      </c>
      <c r="AF1" s="2" t="s">
        <v>123</v>
      </c>
      <c r="AG1" s="2" t="s">
        <v>123</v>
      </c>
      <c r="AH1" s="2" t="s">
        <v>123</v>
      </c>
      <c r="AI1" s="2" t="s">
        <v>123</v>
      </c>
      <c r="AJ1" s="2" t="s">
        <v>123</v>
      </c>
      <c r="AK1" s="2" t="s">
        <v>123</v>
      </c>
      <c r="AL1" s="2" t="s">
        <v>123</v>
      </c>
      <c r="AM1" s="2" t="s">
        <v>123</v>
      </c>
      <c r="AN1" s="2" t="s">
        <v>295</v>
      </c>
    </row>
    <row r="2" spans="1:40" s="3" customFormat="1" x14ac:dyDescent="0.25">
      <c r="A2" s="26" t="s">
        <v>0</v>
      </c>
      <c r="B2" s="26" t="s">
        <v>92</v>
      </c>
      <c r="C2" s="26" t="s">
        <v>93</v>
      </c>
      <c r="D2" s="26" t="s">
        <v>2</v>
      </c>
      <c r="E2" s="26" t="s">
        <v>3</v>
      </c>
      <c r="F2" s="26" t="s">
        <v>4</v>
      </c>
      <c r="G2" s="26" t="s">
        <v>94</v>
      </c>
      <c r="H2" s="11">
        <v>1</v>
      </c>
      <c r="I2" s="11">
        <v>2</v>
      </c>
      <c r="J2" s="11">
        <v>3</v>
      </c>
      <c r="K2" s="11">
        <v>4</v>
      </c>
      <c r="L2" s="11">
        <v>5</v>
      </c>
      <c r="M2" s="11">
        <v>6</v>
      </c>
      <c r="N2" s="11">
        <v>7</v>
      </c>
      <c r="O2" s="11">
        <v>8</v>
      </c>
      <c r="P2" s="11">
        <v>9</v>
      </c>
      <c r="Q2" s="11">
        <v>10</v>
      </c>
      <c r="R2" s="11">
        <v>11</v>
      </c>
      <c r="S2" s="11">
        <v>12</v>
      </c>
      <c r="T2" s="11">
        <v>13</v>
      </c>
      <c r="U2" s="11">
        <v>14</v>
      </c>
      <c r="V2" s="11">
        <v>15</v>
      </c>
      <c r="W2" s="11">
        <v>16</v>
      </c>
      <c r="X2" s="11">
        <v>17</v>
      </c>
      <c r="Y2" s="11">
        <v>18</v>
      </c>
      <c r="Z2" s="11">
        <v>19</v>
      </c>
      <c r="AA2" s="11">
        <v>20</v>
      </c>
      <c r="AB2" s="11">
        <v>21</v>
      </c>
      <c r="AC2" s="11">
        <v>22</v>
      </c>
      <c r="AD2" s="11">
        <v>23</v>
      </c>
      <c r="AE2" s="11">
        <v>24</v>
      </c>
      <c r="AF2" s="11">
        <v>25</v>
      </c>
      <c r="AG2" s="11">
        <v>26</v>
      </c>
      <c r="AH2" s="11">
        <v>27</v>
      </c>
      <c r="AI2" s="11">
        <v>28</v>
      </c>
      <c r="AJ2" s="11">
        <v>29</v>
      </c>
      <c r="AK2" s="11">
        <v>30</v>
      </c>
      <c r="AL2" s="11" t="s">
        <v>121</v>
      </c>
      <c r="AM2" s="2" t="s">
        <v>149</v>
      </c>
      <c r="AN2" s="26" t="s">
        <v>295</v>
      </c>
    </row>
    <row r="3" spans="1:40" x14ac:dyDescent="0.25">
      <c r="A3" t="s">
        <v>36</v>
      </c>
      <c r="B3" t="s">
        <v>37</v>
      </c>
      <c r="C3">
        <v>150360</v>
      </c>
      <c r="D3" t="s">
        <v>38</v>
      </c>
      <c r="E3" t="s">
        <v>37</v>
      </c>
      <c r="F3" t="s">
        <v>24</v>
      </c>
      <c r="G3" t="s">
        <v>28</v>
      </c>
      <c r="H3" s="1">
        <f>VLOOKUP($A3,'BASE PAN - RECEITAS'!$A$3:$E$22,5,FALSE)/2</f>
        <v>516790.71354999999</v>
      </c>
      <c r="I3" s="1">
        <f>VLOOKUP($A3,'BASE PAN - RECEITAS'!$A$3:$I$22,9,FALSE)/2</f>
        <v>549258.98384999996</v>
      </c>
      <c r="J3" s="1">
        <f>VLOOKUP($A3,'BASE PAN - RECEITAS'!$A$3:$M$22,13,FALSE)/2</f>
        <v>574707.61919999996</v>
      </c>
      <c r="K3" s="1">
        <f>VLOOKUP($A3,'BASE PAN - RECEITAS'!$A$3:$Q$22,17,FALSE)</f>
        <v>1193531.1392999999</v>
      </c>
      <c r="L3" s="1">
        <f>VLOOKUP($A3,'BASE PAN - RECEITAS'!$A$3:$T$22,20,FALSE)</f>
        <v>1233597.0554</v>
      </c>
      <c r="M3" s="1">
        <f>VLOOKUP($A3,'BASE PAN - RECEITAS'!$A$3:$W$22,23,FALSE)</f>
        <v>1270837.4007000001</v>
      </c>
      <c r="N3" s="1">
        <f>VLOOKUP($A3,'BASE PAN - RECEITAS'!$A$3:$Z$22,26,FALSE)</f>
        <v>1304587.2738000001</v>
      </c>
      <c r="O3" s="1">
        <f>VLOOKUP($A3,'BASE PAN - RECEITAS'!$A$3:$AC$22,29,FALSE)</f>
        <v>1334939.2102000001</v>
      </c>
      <c r="P3" s="1">
        <f>VLOOKUP($A3,'BASE PAN - RECEITAS'!$A$3:$AF$22,32,FALSE)</f>
        <v>1362564.1454</v>
      </c>
      <c r="Q3" s="1">
        <f>VLOOKUP($A3,'BASE PAN - RECEITAS'!$A$3:$AI$22,35,FALSE)</f>
        <v>1389564.0438000001</v>
      </c>
      <c r="R3" s="1">
        <f>VLOOKUP($A3,'BASE PAN - RECEITAS'!$A$3:$AL$22,38,FALSE)</f>
        <v>1416035.825</v>
      </c>
      <c r="S3" s="1">
        <f>VLOOKUP($A3,'BASE PAN - RECEITAS'!$A$3:$AO$22,41,FALSE)</f>
        <v>1443198.3012999999</v>
      </c>
      <c r="T3" s="1">
        <f>VLOOKUP($A3,'BASE PAN - RECEITAS'!$A$3:$AR$22,44,FALSE)</f>
        <v>1469256.3428</v>
      </c>
      <c r="U3" s="1">
        <f>VLOOKUP($A3,'BASE PAN - RECEITAS'!$A$3:$AU$22,47,FALSE)</f>
        <v>1495602.5430999999</v>
      </c>
      <c r="V3" s="1">
        <f>VLOOKUP($A3,'BASE PAN - RECEITAS'!$A$3:$AX$22,50,FALSE)</f>
        <v>1521597.7941000001</v>
      </c>
      <c r="W3" s="1">
        <f>VLOOKUP($A3,'BASE PAN - RECEITAS'!$A$3:$BA$22,53,FALSE)</f>
        <v>1548383.5277</v>
      </c>
      <c r="X3" s="1">
        <f>VLOOKUP($A3,'BASE PAN - RECEITAS'!$A$3:$BD$22,56,FALSE)</f>
        <v>1575263.4469000001</v>
      </c>
      <c r="Y3" s="1">
        <f>VLOOKUP($A3,'BASE PAN - RECEITAS'!$A$3:$BG$22,59,FALSE)</f>
        <v>1602357.531</v>
      </c>
      <c r="Z3" s="1">
        <f>VLOOKUP($A3,'BASE PAN - RECEITAS'!$A$3:$BJ$22,62,FALSE)</f>
        <v>1628201.4076</v>
      </c>
      <c r="AA3" s="1">
        <f>VLOOKUP($A3,'BASE PAN - RECEITAS'!$A$3:$BM$22,65,FALSE)</f>
        <v>1654165.2634000001</v>
      </c>
      <c r="AB3" s="1">
        <f>VLOOKUP($A3,'BASE PAN - RECEITAS'!$A$3:$BP$22,68,FALSE)</f>
        <v>1679506.8163000001</v>
      </c>
      <c r="AC3" s="1">
        <f>VLOOKUP($A3,'BASE PAN - RECEITAS'!$A$3:$BS$22,71,FALSE)</f>
        <v>1703856.662</v>
      </c>
      <c r="AD3" s="1">
        <f>VLOOKUP($A3,'BASE PAN - RECEITAS'!$A$3:$BV$22,74,FALSE)</f>
        <v>1727423.4055999999</v>
      </c>
      <c r="AE3" s="1">
        <f>VLOOKUP($A3,'BASE PAN - RECEITAS'!$A$3:$BY$22,77,FALSE)</f>
        <v>1750755.6636999999</v>
      </c>
      <c r="AF3" s="1">
        <f>VLOOKUP($A3,'BASE PAN - RECEITAS'!$A$3:$CD$22,80,FALSE)</f>
        <v>1772512.5586000001</v>
      </c>
      <c r="AG3" s="1">
        <f>VLOOKUP($A3,'BASE PAN - RECEITAS'!$A$3:$CG$22,83,FALSE)</f>
        <v>1794049.6869000001</v>
      </c>
      <c r="AH3" s="1">
        <f>VLOOKUP($A3,'BASE PAN - RECEITAS'!$A$3:$CJ$22,86,FALSE)</f>
        <v>1816157.531</v>
      </c>
      <c r="AI3" s="1">
        <f>VLOOKUP($A3,'BASE PAN - RECEITAS'!$A$3:$CM$22,89,FALSE)</f>
        <v>1838636.5162</v>
      </c>
      <c r="AJ3" s="1">
        <f>VLOOKUP($A3,'BASE PAN - RECEITAS'!$A$3:$CN$22,92,FALSE)</f>
        <v>1899108.0893857107</v>
      </c>
      <c r="AK3" s="1">
        <f>VLOOKUP($A3,'BASE PAN - RECEITAS'!$A$3:$CQ$22,95,FALSE)</f>
        <v>1920629.2334725633</v>
      </c>
      <c r="AL3" s="1">
        <f>SUM(H3:AK3)</f>
        <v>43987075.731258273</v>
      </c>
      <c r="AM3" s="1">
        <f t="shared" ref="AM3:AM21" si="0">SUM(H3:V3)</f>
        <v>18076068.391500004</v>
      </c>
      <c r="AN3" s="3">
        <f>VLOOKUP($A3,'BASE PAN - CAPEX'!$A$3:$H$22,8,FALSE)</f>
        <v>3</v>
      </c>
    </row>
    <row r="4" spans="1:40" x14ac:dyDescent="0.25">
      <c r="A4" t="s">
        <v>39</v>
      </c>
      <c r="B4" t="s">
        <v>40</v>
      </c>
      <c r="C4">
        <v>291930</v>
      </c>
      <c r="D4" t="s">
        <v>41</v>
      </c>
      <c r="E4" t="s">
        <v>42</v>
      </c>
      <c r="F4" t="s">
        <v>34</v>
      </c>
      <c r="G4" t="s">
        <v>28</v>
      </c>
      <c r="H4" s="1">
        <f>VLOOKUP($A4,'BASE PAN - RECEITAS'!$A$3:$E$22,5,FALSE)/2</f>
        <v>538440.52599999995</v>
      </c>
      <c r="I4" s="1">
        <f>VLOOKUP($A4,'BASE PAN - RECEITAS'!$A$3:$I$22,9,FALSE)/2</f>
        <v>569888.45129999996</v>
      </c>
      <c r="J4" s="1">
        <f>VLOOKUP($A4,'BASE PAN - RECEITAS'!$A$3:$M$22,13,FALSE)/2</f>
        <v>596577.19825000002</v>
      </c>
      <c r="K4" s="1">
        <f>VLOOKUP($A4,'BASE PAN - RECEITAS'!$A$3:$Q$22,17,FALSE)</f>
        <v>1242010.9772000001</v>
      </c>
      <c r="L4" s="1">
        <f>VLOOKUP($A4,'BASE PAN - RECEITAS'!$A$3:$T$22,20,FALSE)</f>
        <v>1288293.149</v>
      </c>
      <c r="M4" s="1">
        <f>VLOOKUP($A4,'BASE PAN - RECEITAS'!$A$3:$W$22,23,FALSE)</f>
        <v>1333243.8677999999</v>
      </c>
      <c r="N4" s="1">
        <f>VLOOKUP($A4,'BASE PAN - RECEITAS'!$A$3:$Z$22,26,FALSE)</f>
        <v>1375718.7471</v>
      </c>
      <c r="O4" s="1">
        <f>VLOOKUP($A4,'BASE PAN - RECEITAS'!$A$3:$AC$22,29,FALSE)</f>
        <v>1414528.8540000001</v>
      </c>
      <c r="P4" s="1">
        <f>VLOOKUP($A4,'BASE PAN - RECEITAS'!$A$3:$AF$22,32,FALSE)</f>
        <v>1450921.5281</v>
      </c>
      <c r="Q4" s="1">
        <f>VLOOKUP($A4,'BASE PAN - RECEITAS'!$A$3:$AI$22,35,FALSE)</f>
        <v>1487157.2261000001</v>
      </c>
      <c r="R4" s="1">
        <f>VLOOKUP($A4,'BASE PAN - RECEITAS'!$A$3:$AL$22,38,FALSE)</f>
        <v>1523136.1603999999</v>
      </c>
      <c r="S4" s="1">
        <f>VLOOKUP($A4,'BASE PAN - RECEITAS'!$A$3:$AO$22,41,FALSE)</f>
        <v>1560093.9487000001</v>
      </c>
      <c r="T4" s="1">
        <f>VLOOKUP($A4,'BASE PAN - RECEITAS'!$A$3:$AR$22,44,FALSE)</f>
        <v>1596643.5989999999</v>
      </c>
      <c r="U4" s="1">
        <f>VLOOKUP($A4,'BASE PAN - RECEITAS'!$A$3:$AU$22,47,FALSE)</f>
        <v>1633726.9682</v>
      </c>
      <c r="V4" s="1">
        <f>VLOOKUP($A4,'BASE PAN - RECEITAS'!$A$3:$AX$22,50,FALSE)</f>
        <v>1670967.3134999999</v>
      </c>
      <c r="W4" s="1">
        <f>VLOOKUP($A4,'BASE PAN - RECEITAS'!$A$3:$BA$22,53,FALSE)</f>
        <v>1709356.4291000001</v>
      </c>
      <c r="X4" s="1">
        <f>VLOOKUP($A4,'BASE PAN - RECEITAS'!$A$3:$BD$22,56,FALSE)</f>
        <v>1748332.6292000001</v>
      </c>
      <c r="Y4" s="1">
        <f>VLOOKUP($A4,'BASE PAN - RECEITAS'!$A$3:$BG$22,59,FALSE)</f>
        <v>1787959.0120999999</v>
      </c>
      <c r="Z4" s="1">
        <f>VLOOKUP($A4,'BASE PAN - RECEITAS'!$A$3:$BJ$22,62,FALSE)</f>
        <v>1826863.3047</v>
      </c>
      <c r="AA4" s="1">
        <f>VLOOKUP($A4,'BASE PAN - RECEITAS'!$A$3:$BM$22,65,FALSE)</f>
        <v>1866575.4036999999</v>
      </c>
      <c r="AB4" s="1">
        <f>VLOOKUP($A4,'BASE PAN - RECEITAS'!$A$3:$BP$22,68,FALSE)</f>
        <v>1905950.6247</v>
      </c>
      <c r="AC4" s="1">
        <f>VLOOKUP($A4,'BASE PAN - RECEITAS'!$A$3:$BS$22,71,FALSE)</f>
        <v>1946016.5408000001</v>
      </c>
      <c r="AD4" s="1">
        <f>VLOOKUP($A4,'BASE PAN - RECEITAS'!$A$3:$BV$22,74,FALSE)</f>
        <v>1986396.4092999999</v>
      </c>
      <c r="AE4" s="1">
        <f>VLOOKUP($A4,'BASE PAN - RECEITAS'!$A$3:$BY$22,77,FALSE)</f>
        <v>2027247.2061000001</v>
      </c>
      <c r="AF4" s="1">
        <f>VLOOKUP($A4,'BASE PAN - RECEITAS'!$A$3:$CD$22,80,FALSE)</f>
        <v>2067237.4785</v>
      </c>
      <c r="AG4" s="1">
        <f>VLOOKUP($A4,'BASE PAN - RECEITAS'!$A$3:$CG$22,83,FALSE)</f>
        <v>2107428.9755000002</v>
      </c>
      <c r="AH4" s="1">
        <f>VLOOKUP($A4,'BASE PAN - RECEITAS'!$A$3:$CJ$22,86,FALSE)</f>
        <v>2148368.3563000001</v>
      </c>
      <c r="AI4" s="1">
        <f>VLOOKUP($A4,'BASE PAN - RECEITAS'!$A$3:$CM$22,89,FALSE)</f>
        <v>2190255.1957999999</v>
      </c>
      <c r="AJ4" s="1">
        <f>VLOOKUP($A4,'BASE PAN - RECEITAS'!$A$3:$CN$22,92,FALSE)</f>
        <v>2227217.0243150741</v>
      </c>
      <c r="AK4" s="1">
        <f>VLOOKUP($A4,'BASE PAN - RECEITAS'!$A$3:$CQ$22,95,FALSE)</f>
        <v>2263363.6489315182</v>
      </c>
      <c r="AL4" s="1">
        <f t="shared" ref="AL4:AL21" si="1">SUM(H4:AK4)</f>
        <v>49089916.753696598</v>
      </c>
      <c r="AM4" s="1">
        <f t="shared" si="0"/>
        <v>19281348.514649998</v>
      </c>
      <c r="AN4" s="3">
        <f>VLOOKUP($A4,'BASE PAN - CAPEX'!$A$3:$H$22,8,FALSE)</f>
        <v>3</v>
      </c>
    </row>
    <row r="5" spans="1:40" x14ac:dyDescent="0.25">
      <c r="A5" t="s">
        <v>43</v>
      </c>
      <c r="B5" t="s">
        <v>44</v>
      </c>
      <c r="C5">
        <v>130040</v>
      </c>
      <c r="D5" t="s">
        <v>45</v>
      </c>
      <c r="E5" t="s">
        <v>44</v>
      </c>
      <c r="F5" t="s">
        <v>30</v>
      </c>
      <c r="G5" t="s">
        <v>28</v>
      </c>
      <c r="H5" s="1">
        <f>VLOOKUP($A5,'BASE PAN - RECEITAS'!$A$3:$E$22,5,FALSE)/2</f>
        <v>62856.00735</v>
      </c>
      <c r="I5" s="1">
        <f>VLOOKUP($A5,'BASE PAN - RECEITAS'!$A$3:$I$22,9,FALSE)/2</f>
        <v>64775.363850000002</v>
      </c>
      <c r="J5" s="1">
        <f>VLOOKUP($A5,'BASE PAN - RECEITAS'!$A$3:$M$22,13,FALSE)/2</f>
        <v>66358.561600000001</v>
      </c>
      <c r="K5" s="1">
        <f>VLOOKUP($A5,'BASE PAN - RECEITAS'!$A$3:$Q$22,17,FALSE)</f>
        <v>135643.59909999999</v>
      </c>
      <c r="L5" s="1">
        <f>VLOOKUP($A5,'BASE PAN - RECEITAS'!$A$3:$T$22,20,FALSE)</f>
        <v>138342.6942</v>
      </c>
      <c r="M5" s="1">
        <f>VLOOKUP($A5,'BASE PAN - RECEITAS'!$A$3:$W$22,23,FALSE)</f>
        <v>140939.2807</v>
      </c>
      <c r="N5" s="1">
        <f>VLOOKUP($A5,'BASE PAN - RECEITAS'!$A$3:$Z$22,26,FALSE)</f>
        <v>143278.4964</v>
      </c>
      <c r="O5" s="1">
        <f>VLOOKUP($A5,'BASE PAN - RECEITAS'!$A$3:$AC$22,29,FALSE)</f>
        <v>145455.2237</v>
      </c>
      <c r="P5" s="1">
        <f>VLOOKUP($A5,'BASE PAN - RECEITAS'!$A$3:$AF$22,32,FALSE)</f>
        <v>147464.55009999999</v>
      </c>
      <c r="Q5" s="1">
        <f>VLOOKUP($A5,'BASE PAN - RECEITAS'!$A$3:$AI$22,35,FALSE)</f>
        <v>149443.88649999999</v>
      </c>
      <c r="R5" s="1">
        <f>VLOOKUP($A5,'BASE PAN - RECEITAS'!$A$3:$AL$22,38,FALSE)</f>
        <v>151410.68410000001</v>
      </c>
      <c r="S5" s="1">
        <f>VLOOKUP($A5,'BASE PAN - RECEITAS'!$A$3:$AO$22,41,FALSE)</f>
        <v>153390.02050000001</v>
      </c>
      <c r="T5" s="1">
        <f>VLOOKUP($A5,'BASE PAN - RECEITAS'!$A$3:$AR$22,44,FALSE)</f>
        <v>155386.80809999999</v>
      </c>
      <c r="U5" s="1">
        <f>VLOOKUP($A5,'BASE PAN - RECEITAS'!$A$3:$AU$22,47,FALSE)</f>
        <v>157366.1446</v>
      </c>
      <c r="V5" s="1">
        <f>VLOOKUP($A5,'BASE PAN - RECEITAS'!$A$3:$AX$22,50,FALSE)</f>
        <v>159285.50109999999</v>
      </c>
      <c r="W5" s="1">
        <f>VLOOKUP($A5,'BASE PAN - RECEITAS'!$A$3:$BA$22,53,FALSE)</f>
        <v>161312.27859999999</v>
      </c>
      <c r="X5" s="1">
        <f>VLOOKUP($A5,'BASE PAN - RECEITAS'!$A$3:$BD$22,56,FALSE)</f>
        <v>163321.60500000001</v>
      </c>
      <c r="Y5" s="1">
        <f>VLOOKUP($A5,'BASE PAN - RECEITAS'!$A$3:$BG$22,59,FALSE)</f>
        <v>165408.36240000001</v>
      </c>
      <c r="Z5" s="1">
        <f>VLOOKUP($A5,'BASE PAN - RECEITAS'!$A$3:$BJ$22,62,FALSE)</f>
        <v>167327.71890000001</v>
      </c>
      <c r="AA5" s="1">
        <f>VLOOKUP($A5,'BASE PAN - RECEITAS'!$A$3:$BM$22,65,FALSE)</f>
        <v>169277.06539999999</v>
      </c>
      <c r="AB5" s="1">
        <f>VLOOKUP($A5,'BASE PAN - RECEITAS'!$A$3:$BP$22,68,FALSE)</f>
        <v>171213.8731</v>
      </c>
      <c r="AC5" s="1">
        <f>VLOOKUP($A5,'BASE PAN - RECEITAS'!$A$3:$BS$22,71,FALSE)</f>
        <v>173043.2598</v>
      </c>
      <c r="AD5" s="1">
        <f>VLOOKUP($A5,'BASE PAN - RECEITAS'!$A$3:$BV$22,74,FALSE)</f>
        <v>174782.67660000001</v>
      </c>
      <c r="AE5" s="1">
        <f>VLOOKUP($A5,'BASE PAN - RECEITAS'!$A$3:$BY$22,77,FALSE)</f>
        <v>176539.54459999999</v>
      </c>
      <c r="AF5" s="1">
        <f>VLOOKUP($A5,'BASE PAN - RECEITAS'!$A$3:$CD$22,80,FALSE)</f>
        <v>178188.99170000001</v>
      </c>
      <c r="AG5" s="1">
        <f>VLOOKUP($A5,'BASE PAN - RECEITAS'!$A$3:$CG$22,83,FALSE)</f>
        <v>179808.44870000001</v>
      </c>
      <c r="AH5" s="1">
        <f>VLOOKUP($A5,'BASE PAN - RECEITAS'!$A$3:$CJ$22,86,FALSE)</f>
        <v>181445.35699999999</v>
      </c>
      <c r="AI5" s="1">
        <f>VLOOKUP($A5,'BASE PAN - RECEITAS'!$A$3:$CM$22,89,FALSE)</f>
        <v>183094.804</v>
      </c>
      <c r="AJ5" s="1">
        <f>VLOOKUP($A5,'BASE PAN - RECEITAS'!$A$3:$CN$22,92,FALSE)</f>
        <v>187163.70166190481</v>
      </c>
      <c r="AK5" s="1">
        <f>VLOOKUP($A5,'BASE PAN - RECEITAS'!$A$3:$CQ$22,95,FALSE)</f>
        <v>188877.32099852618</v>
      </c>
      <c r="AL5" s="1">
        <f t="shared" si="1"/>
        <v>4592201.8303604322</v>
      </c>
      <c r="AM5" s="1">
        <f t="shared" si="0"/>
        <v>1971396.8218999999</v>
      </c>
      <c r="AN5" s="3">
        <f>VLOOKUP($A5,'BASE PAN - CAPEX'!$A$3:$H$22,8,FALSE)</f>
        <v>1</v>
      </c>
    </row>
    <row r="6" spans="1:40" x14ac:dyDescent="0.25">
      <c r="A6" t="s">
        <v>47</v>
      </c>
      <c r="B6" t="s">
        <v>48</v>
      </c>
      <c r="C6">
        <v>130190</v>
      </c>
      <c r="D6" t="s">
        <v>49</v>
      </c>
      <c r="E6" t="s">
        <v>48</v>
      </c>
      <c r="F6" t="s">
        <v>30</v>
      </c>
      <c r="G6" t="s">
        <v>28</v>
      </c>
      <c r="H6" s="1">
        <f>VLOOKUP($A6,'BASE PAN - RECEITAS'!$A$3:$E$22,5,FALSE)/2</f>
        <v>1151405.33495</v>
      </c>
      <c r="I6" s="1">
        <f>VLOOKUP($A6,'BASE PAN - RECEITAS'!$A$3:$I$22,9,FALSE)/2</f>
        <v>1298706.9474500001</v>
      </c>
      <c r="J6" s="1">
        <f>VLOOKUP($A6,'BASE PAN - RECEITAS'!$A$3:$M$22,13,FALSE)/2</f>
        <v>1395499.7827000001</v>
      </c>
      <c r="K6" s="1">
        <f>VLOOKUP($A6,'BASE PAN - RECEITAS'!$A$3:$Q$22,17,FALSE)</f>
        <v>2947557.3177</v>
      </c>
      <c r="L6" s="1">
        <f>VLOOKUP($A6,'BASE PAN - RECEITAS'!$A$3:$T$22,20,FALSE)</f>
        <v>3078180.7744999998</v>
      </c>
      <c r="M6" s="1">
        <f>VLOOKUP($A6,'BASE PAN - RECEITAS'!$A$3:$W$22,23,FALSE)</f>
        <v>3215433.2622000002</v>
      </c>
      <c r="N6" s="1">
        <f>VLOOKUP($A6,'BASE PAN - RECEITAS'!$A$3:$Z$22,26,FALSE)</f>
        <v>3334360.7587000001</v>
      </c>
      <c r="O6" s="1">
        <f>VLOOKUP($A6,'BASE PAN - RECEITAS'!$A$3:$AC$22,29,FALSE)</f>
        <v>3457535.4685</v>
      </c>
      <c r="P6" s="1">
        <f>VLOOKUP($A6,'BASE PAN - RECEITAS'!$A$3:$AF$22,32,FALSE)</f>
        <v>3561323.7711999998</v>
      </c>
      <c r="Q6" s="1">
        <f>VLOOKUP($A6,'BASE PAN - RECEITAS'!$A$3:$AI$22,35,FALSE)</f>
        <v>3677576.0622999999</v>
      </c>
      <c r="R6" s="1">
        <f>VLOOKUP($A6,'BASE PAN - RECEITAS'!$A$3:$AL$22,38,FALSE)</f>
        <v>3780066.7489</v>
      </c>
      <c r="S6" s="1">
        <f>VLOOKUP($A6,'BASE PAN - RECEITAS'!$A$3:$AO$22,41,FALSE)</f>
        <v>3901334.5493000001</v>
      </c>
      <c r="T6" s="1">
        <f>VLOOKUP($A6,'BASE PAN - RECEITAS'!$A$3:$AR$22,44,FALSE)</f>
        <v>4005424.2746000001</v>
      </c>
      <c r="U6" s="1">
        <f>VLOOKUP($A6,'BASE PAN - RECEITAS'!$A$3:$AU$22,47,FALSE)</f>
        <v>4125968.4794999999</v>
      </c>
      <c r="V6" s="1">
        <f>VLOOKUP($A6,'BASE PAN - RECEITAS'!$A$3:$AX$22,50,FALSE)</f>
        <v>4230135.9305999996</v>
      </c>
      <c r="W6" s="1">
        <f>VLOOKUP($A6,'BASE PAN - RECEITAS'!$A$3:$BA$22,53,FALSE)</f>
        <v>4354792.6357000005</v>
      </c>
      <c r="X6" s="1">
        <f>VLOOKUP($A6,'BASE PAN - RECEITAS'!$A$3:$BD$22,56,FALSE)</f>
        <v>4458535.4797999999</v>
      </c>
      <c r="Y6" s="1">
        <f>VLOOKUP($A6,'BASE PAN - RECEITAS'!$A$3:$BG$22,59,FALSE)</f>
        <v>4583706.4020999996</v>
      </c>
      <c r="Z6" s="1">
        <f>VLOOKUP($A6,'BASE PAN - RECEITAS'!$A$3:$BJ$22,62,FALSE)</f>
        <v>4691234.3455999997</v>
      </c>
      <c r="AA6" s="1">
        <f>VLOOKUP($A6,'BASE PAN - RECEITAS'!$A$3:$BM$22,65,FALSE)</f>
        <v>4817538.0559</v>
      </c>
      <c r="AB6" s="1">
        <f>VLOOKUP($A6,'BASE PAN - RECEITAS'!$A$3:$BP$22,68,FALSE)</f>
        <v>4928582.2065000003</v>
      </c>
      <c r="AC6" s="1">
        <f>VLOOKUP($A6,'BASE PAN - RECEITAS'!$A$3:$BS$22,71,FALSE)</f>
        <v>5042772.7037000004</v>
      </c>
      <c r="AD6" s="1">
        <f>VLOOKUP($A6,'BASE PAN - RECEITAS'!$A$3:$BV$22,74,FALSE)</f>
        <v>5140717.1326000001</v>
      </c>
      <c r="AE6" s="1">
        <f>VLOOKUP($A6,'BASE PAN - RECEITAS'!$A$3:$BY$22,77,FALSE)</f>
        <v>5259561.9705999997</v>
      </c>
      <c r="AF6" s="1">
        <f>VLOOKUP($A6,'BASE PAN - RECEITAS'!$A$3:$CD$22,80,FALSE)</f>
        <v>5355384.3591999998</v>
      </c>
      <c r="AG6" s="1">
        <f>VLOOKUP($A6,'BASE PAN - RECEITAS'!$A$3:$CG$22,83,FALSE)</f>
        <v>5471559.3187999995</v>
      </c>
      <c r="AH6" s="1">
        <f>VLOOKUP($A6,'BASE PAN - RECEITAS'!$A$3:$CJ$22,86,FALSE)</f>
        <v>5590134.7411000002</v>
      </c>
      <c r="AI6" s="1">
        <f>VLOOKUP($A6,'BASE PAN - RECEITAS'!$A$3:$CM$22,89,FALSE)</f>
        <v>5711159.8054</v>
      </c>
      <c r="AJ6" s="1">
        <f>VLOOKUP($A6,'BASE PAN - RECEITAS'!$A$3:$CN$22,92,FALSE)</f>
        <v>5865864.2377476096</v>
      </c>
      <c r="AK6" s="1">
        <f>VLOOKUP($A6,'BASE PAN - RECEITAS'!$A$3:$CQ$22,95,FALSE)</f>
        <v>5962704.4146782458</v>
      </c>
      <c r="AL6" s="1">
        <f t="shared" si="1"/>
        <v>124394757.27252585</v>
      </c>
      <c r="AM6" s="1">
        <f t="shared" si="0"/>
        <v>47160509.463100009</v>
      </c>
      <c r="AN6" s="3">
        <f>VLOOKUP($A6,'BASE PAN - CAPEX'!$A$3:$H$22,8,FALSE)</f>
        <v>3</v>
      </c>
    </row>
    <row r="7" spans="1:40" x14ac:dyDescent="0.25">
      <c r="A7" t="s">
        <v>50</v>
      </c>
      <c r="B7" t="s">
        <v>95</v>
      </c>
      <c r="C7">
        <v>120060</v>
      </c>
      <c r="D7" t="s">
        <v>52</v>
      </c>
      <c r="E7" t="s">
        <v>51</v>
      </c>
      <c r="F7" t="s">
        <v>35</v>
      </c>
      <c r="G7" t="s">
        <v>28</v>
      </c>
      <c r="H7" s="1">
        <f>VLOOKUP($A7,'BASE PAN - RECEITAS'!$A$3:$E$22,5,FALSE)/2</f>
        <v>127083.07769999999</v>
      </c>
      <c r="I7" s="1">
        <f>VLOOKUP($A7,'BASE PAN - RECEITAS'!$A$3:$I$22,9,FALSE)/2</f>
        <v>133812.65075</v>
      </c>
      <c r="J7" s="1">
        <f>VLOOKUP($A7,'BASE PAN - RECEITAS'!$A$3:$M$22,13,FALSE)/2</f>
        <v>139635.86004999999</v>
      </c>
      <c r="K7" s="1">
        <f>VLOOKUP($A7,'BASE PAN - RECEITAS'!$A$3:$Q$22,17,FALSE)</f>
        <v>290699.89480000001</v>
      </c>
      <c r="L7" s="1">
        <f>VLOOKUP($A7,'BASE PAN - RECEITAS'!$A$3:$T$22,20,FALSE)</f>
        <v>301368.36989999999</v>
      </c>
      <c r="M7" s="1">
        <f>VLOOKUP($A7,'BASE PAN - RECEITAS'!$A$3:$W$22,23,FALSE)</f>
        <v>311699.92340000003</v>
      </c>
      <c r="N7" s="1">
        <f>VLOOKUP($A7,'BASE PAN - RECEITAS'!$A$3:$Z$22,26,FALSE)</f>
        <v>321915.21769999998</v>
      </c>
      <c r="O7" s="1">
        <f>VLOOKUP($A7,'BASE PAN - RECEITAS'!$A$3:$AC$22,29,FALSE)</f>
        <v>331427.94130000001</v>
      </c>
      <c r="P7" s="1">
        <f>VLOOKUP($A7,'BASE PAN - RECEITAS'!$A$3:$AF$22,32,FALSE)</f>
        <v>339933.08669999999</v>
      </c>
      <c r="Q7" s="1">
        <f>VLOOKUP($A7,'BASE PAN - RECEITAS'!$A$3:$AI$22,35,FALSE)</f>
        <v>349149.46380000003</v>
      </c>
      <c r="R7" s="1">
        <f>VLOOKUP($A7,'BASE PAN - RECEITAS'!$A$3:$AL$22,38,FALSE)</f>
        <v>358128.76370000001</v>
      </c>
      <c r="S7" s="1">
        <f>VLOOKUP($A7,'BASE PAN - RECEITAS'!$A$3:$AO$22,41,FALSE)</f>
        <v>367201.98109999998</v>
      </c>
      <c r="T7" s="1">
        <f>VLOOKUP($A7,'BASE PAN - RECEITAS'!$A$3:$AR$22,44,FALSE)</f>
        <v>376210.91570000001</v>
      </c>
      <c r="U7" s="1">
        <f>VLOOKUP($A7,'BASE PAN - RECEITAS'!$A$3:$AU$22,47,FALSE)</f>
        <v>385723.63929999998</v>
      </c>
      <c r="V7" s="1">
        <f>VLOOKUP($A7,'BASE PAN - RECEITAS'!$A$3:$AX$22,50,FALSE)</f>
        <v>395414.17080000002</v>
      </c>
      <c r="W7" s="1">
        <f>VLOOKUP($A7,'BASE PAN - RECEITAS'!$A$3:$BA$22,53,FALSE)</f>
        <v>405045.43310000002</v>
      </c>
      <c r="X7" s="1">
        <f>VLOOKUP($A7,'BASE PAN - RECEITAS'!$A$3:$BD$22,56,FALSE)</f>
        <v>414824.86859999999</v>
      </c>
      <c r="Y7" s="1">
        <f>VLOOKUP($A7,'BASE PAN - RECEITAS'!$A$3:$BG$22,59,FALSE)</f>
        <v>425202.01069999998</v>
      </c>
      <c r="Z7" s="1">
        <f>VLOOKUP($A7,'BASE PAN - RECEITAS'!$A$3:$BJ$22,62,FALSE)</f>
        <v>435248.1581</v>
      </c>
      <c r="AA7" s="1">
        <f>VLOOKUP($A7,'BASE PAN - RECEITAS'!$A$3:$BM$22,65,FALSE)</f>
        <v>444997.95899999997</v>
      </c>
      <c r="AB7" s="1">
        <f>VLOOKUP($A7,'BASE PAN - RECEITAS'!$A$3:$BP$22,68,FALSE)</f>
        <v>455192.27960000001</v>
      </c>
      <c r="AC7" s="1">
        <f>VLOOKUP($A7,'BASE PAN - RECEITAS'!$A$3:$BS$22,71,FALSE)</f>
        <v>464379.0221</v>
      </c>
      <c r="AD7" s="1">
        <f>VLOOKUP($A7,'BASE PAN - RECEITAS'!$A$3:$BV$22,74,FALSE)</f>
        <v>474028.97850000003</v>
      </c>
      <c r="AE7" s="1">
        <f>VLOOKUP($A7,'BASE PAN - RECEITAS'!$A$3:$BY$22,77,FALSE)</f>
        <v>483008.27840000001</v>
      </c>
      <c r="AF7" s="1">
        <f>VLOOKUP($A7,'BASE PAN - RECEITAS'!$A$3:$CD$22,80,FALSE)</f>
        <v>491720.8664</v>
      </c>
      <c r="AG7" s="1">
        <f>VLOOKUP($A7,'BASE PAN - RECEITAS'!$A$3:$CG$22,83,FALSE)</f>
        <v>500522.35830000002</v>
      </c>
      <c r="AH7" s="1">
        <f>VLOOKUP($A7,'BASE PAN - RECEITAS'!$A$3:$CJ$22,86,FALSE)</f>
        <v>509501.65820000001</v>
      </c>
      <c r="AI7" s="1">
        <f>VLOOKUP($A7,'BASE PAN - RECEITAS'!$A$3:$CM$22,89,FALSE)</f>
        <v>518629.13130000001</v>
      </c>
      <c r="AJ7" s="1">
        <f>VLOOKUP($A7,'BASE PAN - RECEITAS'!$A$3:$CN$22,92,FALSE)</f>
        <v>530788.9723523818</v>
      </c>
      <c r="AK7" s="1">
        <f>VLOOKUP($A7,'BASE PAN - RECEITAS'!$A$3:$CQ$22,95,FALSE)</f>
        <v>539865.36527970433</v>
      </c>
      <c r="AL7" s="1">
        <f t="shared" si="1"/>
        <v>11622360.296632085</v>
      </c>
      <c r="AM7" s="1">
        <f t="shared" si="0"/>
        <v>4529404.9567</v>
      </c>
      <c r="AN7" s="3">
        <f>VLOOKUP($A7,'BASE PAN - CAPEX'!$A$3:$H$22,8,FALSE)</f>
        <v>1</v>
      </c>
    </row>
    <row r="8" spans="1:40" x14ac:dyDescent="0.25">
      <c r="A8" t="s">
        <v>53</v>
      </c>
      <c r="B8" t="s">
        <v>54</v>
      </c>
      <c r="C8">
        <v>292400</v>
      </c>
      <c r="D8" t="s">
        <v>55</v>
      </c>
      <c r="E8" t="s">
        <v>54</v>
      </c>
      <c r="F8" t="s">
        <v>34</v>
      </c>
      <c r="G8" t="s">
        <v>28</v>
      </c>
      <c r="H8" s="1">
        <f>VLOOKUP($A8,'BASE PAN - RECEITAS'!$A$3:$E$22,5,FALSE)/2</f>
        <v>162305.98555000001</v>
      </c>
      <c r="I8" s="1">
        <f>VLOOKUP($A8,'BASE PAN - RECEITAS'!$A$3:$I$22,9,FALSE)/2</f>
        <v>171063.02554999999</v>
      </c>
      <c r="J8" s="1">
        <f>VLOOKUP($A8,'BASE PAN - RECEITAS'!$A$3:$M$22,13,FALSE)/2</f>
        <v>178975.4779</v>
      </c>
      <c r="K8" s="1">
        <f>VLOOKUP($A8,'BASE PAN - RECEITAS'!$A$3:$Q$22,17,FALSE)</f>
        <v>373306.71970000002</v>
      </c>
      <c r="L8" s="1">
        <f>VLOOKUP($A8,'BASE PAN - RECEITAS'!$A$3:$T$22,20,FALSE)</f>
        <v>388124.04619999998</v>
      </c>
      <c r="M8" s="1">
        <f>VLOOKUP($A8,'BASE PAN - RECEITAS'!$A$3:$W$22,23,FALSE)</f>
        <v>402882.10340000002</v>
      </c>
      <c r="N8" s="1">
        <f>VLOOKUP($A8,'BASE PAN - RECEITAS'!$A$3:$Z$22,26,FALSE)</f>
        <v>417106.73690000002</v>
      </c>
      <c r="O8" s="1">
        <f>VLOOKUP($A8,'BASE PAN - RECEITAS'!$A$3:$AC$22,29,FALSE)</f>
        <v>430773.32549999998</v>
      </c>
      <c r="P8" s="1">
        <f>VLOOKUP($A8,'BASE PAN - RECEITAS'!$A$3:$AF$22,32,FALSE)</f>
        <v>443871.84220000001</v>
      </c>
      <c r="Q8" s="1">
        <f>VLOOKUP($A8,'BASE PAN - RECEITAS'!$A$3:$AI$22,35,FALSE)</f>
        <v>457088.89740000002</v>
      </c>
      <c r="R8" s="1">
        <f>VLOOKUP($A8,'BASE PAN - RECEITAS'!$A$3:$AL$22,38,FALSE)</f>
        <v>470527.07579999999</v>
      </c>
      <c r="S8" s="1">
        <f>VLOOKUP($A8,'BASE PAN - RECEITAS'!$A$3:$AO$22,41,FALSE)</f>
        <v>484490.011</v>
      </c>
      <c r="T8" s="1">
        <f>VLOOKUP($A8,'BASE PAN - RECEITAS'!$A$3:$AR$22,44,FALSE)</f>
        <v>498299.75929999998</v>
      </c>
      <c r="U8" s="1">
        <f>VLOOKUP($A8,'BASE PAN - RECEITAS'!$A$3:$AU$22,47,FALSE)</f>
        <v>512613.29680000001</v>
      </c>
      <c r="V8" s="1">
        <f>VLOOKUP($A8,'BASE PAN - RECEITAS'!$A$3:$AX$22,50,FALSE)</f>
        <v>527186.37620000006</v>
      </c>
      <c r="W8" s="1">
        <f>VLOOKUP($A8,'BASE PAN - RECEITAS'!$A$3:$BA$22,53,FALSE)</f>
        <v>542181.51060000004</v>
      </c>
      <c r="X8" s="1">
        <f>VLOOKUP($A8,'BASE PAN - RECEITAS'!$A$3:$BD$22,56,FALSE)</f>
        <v>557502.6263</v>
      </c>
      <c r="Y8" s="1">
        <f>VLOOKUP($A8,'BASE PAN - RECEITAS'!$A$3:$BG$22,59,FALSE)</f>
        <v>573268.26170000003</v>
      </c>
      <c r="Z8" s="1">
        <f>VLOOKUP($A8,'BASE PAN - RECEITAS'!$A$3:$BJ$22,62,FALSE)</f>
        <v>588979.64139999996</v>
      </c>
      <c r="AA8" s="1">
        <f>VLOOKUP($A8,'BASE PAN - RECEITAS'!$A$3:$BM$22,65,FALSE)</f>
        <v>605071.25800000003</v>
      </c>
      <c r="AB8" s="1">
        <f>VLOOKUP($A8,'BASE PAN - RECEITAS'!$A$3:$BP$22,68,FALSE)</f>
        <v>621162.87459999998</v>
      </c>
      <c r="AC8" s="1">
        <f>VLOOKUP($A8,'BASE PAN - RECEITAS'!$A$3:$BS$22,71,FALSE)</f>
        <v>637717.70519999997</v>
      </c>
      <c r="AD8" s="1">
        <f>VLOOKUP($A8,'BASE PAN - RECEITAS'!$A$3:$BV$22,74,FALSE)</f>
        <v>654046.39899999998</v>
      </c>
      <c r="AE8" s="1">
        <f>VLOOKUP($A8,'BASE PAN - RECEITAS'!$A$3:$BY$22,77,FALSE)</f>
        <v>670671.43940000003</v>
      </c>
      <c r="AF8" s="1">
        <f>VLOOKUP($A8,'BASE PAN - RECEITAS'!$A$3:$CD$22,80,FALSE)</f>
        <v>687153.32010000001</v>
      </c>
      <c r="AG8" s="1">
        <f>VLOOKUP($A8,'BASE PAN - RECEITAS'!$A$3:$CG$22,83,FALSE)</f>
        <v>703807.99509999994</v>
      </c>
      <c r="AH8" s="1">
        <f>VLOOKUP($A8,'BASE PAN - RECEITAS'!$A$3:$CJ$22,86,FALSE)</f>
        <v>720877.55519999994</v>
      </c>
      <c r="AI8" s="1">
        <f>VLOOKUP($A8,'BASE PAN - RECEITAS'!$A$3:$CM$22,89,FALSE)</f>
        <v>738677.18030000001</v>
      </c>
      <c r="AJ8" s="1">
        <f>VLOOKUP($A8,'BASE PAN - RECEITAS'!$A$3:$CN$22,92,FALSE)</f>
        <v>743634.25920873135</v>
      </c>
      <c r="AK8" s="1">
        <f>VLOOKUP($A8,'BASE PAN - RECEITAS'!$A$3:$CQ$22,95,FALSE)</f>
        <v>758709.33414093032</v>
      </c>
      <c r="AL8" s="1">
        <f t="shared" si="1"/>
        <v>15722076.03964966</v>
      </c>
      <c r="AM8" s="1">
        <f t="shared" si="0"/>
        <v>5918614.6793999989</v>
      </c>
      <c r="AN8" s="3">
        <f>VLOOKUP($A8,'BASE PAN - CAPEX'!$A$3:$H$22,8,FALSE)</f>
        <v>3</v>
      </c>
    </row>
    <row r="9" spans="1:40" x14ac:dyDescent="0.25">
      <c r="A9" t="s">
        <v>56</v>
      </c>
      <c r="B9" t="s">
        <v>96</v>
      </c>
      <c r="C9">
        <v>110030</v>
      </c>
      <c r="D9" t="s">
        <v>58</v>
      </c>
      <c r="E9" t="s">
        <v>57</v>
      </c>
      <c r="F9" t="s">
        <v>25</v>
      </c>
      <c r="G9" t="s">
        <v>28</v>
      </c>
      <c r="H9" s="1">
        <f>VLOOKUP($A9,'BASE PAN - RECEITAS'!$A$3:$E$22,5,FALSE)/2</f>
        <v>357789.40659999999</v>
      </c>
      <c r="I9" s="1">
        <f>VLOOKUP($A9,'BASE PAN - RECEITAS'!$A$3:$I$22,9,FALSE)/2</f>
        <v>378501.13520000002</v>
      </c>
      <c r="J9" s="1">
        <f>VLOOKUP($A9,'BASE PAN - RECEITAS'!$A$3:$M$22,13,FALSE)/2</f>
        <v>396652.36015000002</v>
      </c>
      <c r="K9" s="1">
        <f>VLOOKUP($A9,'BASE PAN - RECEITAS'!$A$3:$Q$22,17,FALSE)</f>
        <v>827720.58570000005</v>
      </c>
      <c r="L9" s="1">
        <f>VLOOKUP($A9,'BASE PAN - RECEITAS'!$A$3:$T$22,20,FALSE)</f>
        <v>860370.80350000004</v>
      </c>
      <c r="M9" s="1">
        <f>VLOOKUP($A9,'BASE PAN - RECEITAS'!$A$3:$W$22,23,FALSE)</f>
        <v>891813.17039999994</v>
      </c>
      <c r="N9" s="1">
        <f>VLOOKUP($A9,'BASE PAN - RECEITAS'!$A$3:$Z$22,26,FALSE)</f>
        <v>921512.10640000005</v>
      </c>
      <c r="O9" s="1">
        <f>VLOOKUP($A9,'BASE PAN - RECEITAS'!$A$3:$AC$22,29,FALSE)</f>
        <v>949101.96829999995</v>
      </c>
      <c r="P9" s="1">
        <f>VLOOKUP($A9,'BASE PAN - RECEITAS'!$A$3:$AF$22,32,FALSE)</f>
        <v>975406.59979999997</v>
      </c>
      <c r="Q9" s="1">
        <f>VLOOKUP($A9,'BASE PAN - RECEITAS'!$A$3:$AI$22,35,FALSE)</f>
        <v>1001514.7291</v>
      </c>
      <c r="R9" s="1">
        <f>VLOOKUP($A9,'BASE PAN - RECEITAS'!$A$3:$AL$22,38,FALSE)</f>
        <v>1027568.6027</v>
      </c>
      <c r="S9" s="1">
        <f>VLOOKUP($A9,'BASE PAN - RECEITAS'!$A$3:$AO$22,41,FALSE)</f>
        <v>1054387.9637</v>
      </c>
      <c r="T9" s="1">
        <f>VLOOKUP($A9,'BASE PAN - RECEITAS'!$A$3:$AR$22,44,FALSE)</f>
        <v>1080945.6265</v>
      </c>
      <c r="U9" s="1">
        <f>VLOOKUP($A9,'BASE PAN - RECEITAS'!$A$3:$AU$22,47,FALSE)</f>
        <v>1108031.6993</v>
      </c>
      <c r="V9" s="1">
        <f>VLOOKUP($A9,'BASE PAN - RECEITAS'!$A$3:$AX$22,50,FALSE)</f>
        <v>1135284.6396999999</v>
      </c>
      <c r="W9" s="1">
        <f>VLOOKUP($A9,'BASE PAN - RECEITAS'!$A$3:$BA$22,53,FALSE)</f>
        <v>1163247.5686999999</v>
      </c>
      <c r="X9" s="1">
        <f>VLOOKUP($A9,'BASE PAN - RECEITAS'!$A$3:$BD$22,56,FALSE)</f>
        <v>1192046.6636000001</v>
      </c>
      <c r="Y9" s="1">
        <f>VLOOKUP($A9,'BASE PAN - RECEITAS'!$A$3:$BG$22,59,FALSE)</f>
        <v>1221088.6236</v>
      </c>
      <c r="Z9" s="1">
        <f>VLOOKUP($A9,'BASE PAN - RECEITAS'!$A$3:$BJ$22,62,FALSE)</f>
        <v>1249691.0774000001</v>
      </c>
      <c r="AA9" s="1">
        <f>VLOOKUP($A9,'BASE PAN - RECEITAS'!$A$3:$BM$22,65,FALSE)</f>
        <v>1278717.0833000001</v>
      </c>
      <c r="AB9" s="1">
        <f>VLOOKUP($A9,'BASE PAN - RECEITAS'!$A$3:$BP$22,68,FALSE)</f>
        <v>1307645.5183000001</v>
      </c>
      <c r="AC9" s="1">
        <f>VLOOKUP($A9,'BASE PAN - RECEITAS'!$A$3:$BS$22,71,FALSE)</f>
        <v>1335671.2390999999</v>
      </c>
      <c r="AD9" s="1">
        <f>VLOOKUP($A9,'BASE PAN - RECEITAS'!$A$3:$BV$22,74,FALSE)</f>
        <v>1362554.8829999999</v>
      </c>
      <c r="AE9" s="1">
        <f>VLOOKUP($A9,'BASE PAN - RECEITAS'!$A$3:$BY$22,77,FALSE)</f>
        <v>1389374.2439999999</v>
      </c>
      <c r="AF9" s="1">
        <f>VLOOKUP($A9,'BASE PAN - RECEITAS'!$A$3:$CD$22,80,FALSE)</f>
        <v>1415368.8483</v>
      </c>
      <c r="AG9" s="1">
        <f>VLOOKUP($A9,'BASE PAN - RECEITAS'!$A$3:$CG$22,83,FALSE)</f>
        <v>1441490.6583</v>
      </c>
      <c r="AH9" s="1">
        <f>VLOOKUP($A9,'BASE PAN - RECEITAS'!$A$3:$CJ$22,86,FALSE)</f>
        <v>1468125.0415000001</v>
      </c>
      <c r="AI9" s="1">
        <f>VLOOKUP($A9,'BASE PAN - RECEITAS'!$A$3:$CM$22,89,FALSE)</f>
        <v>1495151.8451</v>
      </c>
      <c r="AJ9" s="1">
        <f>VLOOKUP($A9,'BASE PAN - RECEITAS'!$A$3:$CN$22,92,FALSE)</f>
        <v>1530425.0478428528</v>
      </c>
      <c r="AK9" s="1">
        <f>VLOOKUP($A9,'BASE PAN - RECEITAS'!$A$3:$CQ$22,95,FALSE)</f>
        <v>1556486.3287950158</v>
      </c>
      <c r="AL9" s="1">
        <f t="shared" si="1"/>
        <v>33373686.067887865</v>
      </c>
      <c r="AM9" s="1">
        <f t="shared" si="0"/>
        <v>12966601.397049999</v>
      </c>
      <c r="AN9" s="3">
        <f>VLOOKUP($A9,'BASE PAN - CAPEX'!$A$3:$H$22,8,FALSE)</f>
        <v>3</v>
      </c>
    </row>
    <row r="10" spans="1:40" x14ac:dyDescent="0.25">
      <c r="A10" t="s">
        <v>63</v>
      </c>
      <c r="B10" t="s">
        <v>66</v>
      </c>
      <c r="C10">
        <v>291170</v>
      </c>
      <c r="D10" t="s">
        <v>65</v>
      </c>
      <c r="E10" t="s">
        <v>66</v>
      </c>
      <c r="F10" t="s">
        <v>34</v>
      </c>
      <c r="G10" t="s">
        <v>28</v>
      </c>
      <c r="H10" s="1">
        <f>VLOOKUP($A10,'BASE PAN - RECEITAS'!$A$3:$E$22,5,FALSE)/2</f>
        <v>513254.96905000001</v>
      </c>
      <c r="I10" s="1">
        <f>VLOOKUP($A10,'BASE PAN - RECEITAS'!$A$3:$I$22,9,FALSE)/2</f>
        <v>529400.59464999998</v>
      </c>
      <c r="J10" s="1">
        <f>VLOOKUP($A10,'BASE PAN - RECEITAS'!$A$3:$M$22,13,FALSE)/2</f>
        <v>541507.75360000005</v>
      </c>
      <c r="K10" s="1">
        <f>VLOOKUP($A10,'BASE PAN - RECEITAS'!$A$3:$Q$22,17,FALSE)</f>
        <v>1107229.8252000001</v>
      </c>
      <c r="L10" s="1">
        <f>VLOOKUP($A10,'BASE PAN - RECEITAS'!$A$3:$T$22,20,FALSE)</f>
        <v>1131444.1431</v>
      </c>
      <c r="M10" s="1">
        <f>VLOOKUP($A10,'BASE PAN - RECEITAS'!$A$3:$W$22,23,FALSE)</f>
        <v>1155674.9427</v>
      </c>
      <c r="N10" s="1">
        <f>VLOOKUP($A10,'BASE PAN - RECEITAS'!$A$3:$Z$22,26,FALSE)</f>
        <v>1179889.2607</v>
      </c>
      <c r="O10" s="1">
        <f>VLOOKUP($A10,'BASE PAN - RECEITAS'!$A$3:$AC$22,29,FALSE)</f>
        <v>1204103.5785999999</v>
      </c>
      <c r="P10" s="1">
        <f>VLOOKUP($A10,'BASE PAN - RECEITAS'!$A$3:$AF$22,32,FALSE)</f>
        <v>1228317.8966000001</v>
      </c>
      <c r="Q10" s="1">
        <f>VLOOKUP($A10,'BASE PAN - RECEITAS'!$A$3:$AI$22,35,FALSE)</f>
        <v>1252532.2145</v>
      </c>
      <c r="R10" s="1">
        <f>VLOOKUP($A10,'BASE PAN - RECEITAS'!$A$3:$AL$22,38,FALSE)</f>
        <v>1276746.5323999999</v>
      </c>
      <c r="S10" s="1">
        <f>VLOOKUP($A10,'BASE PAN - RECEITAS'!$A$3:$AO$22,41,FALSE)</f>
        <v>1300977.3321</v>
      </c>
      <c r="T10" s="1">
        <f>VLOOKUP($A10,'BASE PAN - RECEITAS'!$A$3:$AR$22,44,FALSE)</f>
        <v>1325191.6499999999</v>
      </c>
      <c r="U10" s="1">
        <f>VLOOKUP($A10,'BASE PAN - RECEITAS'!$A$3:$AU$22,47,FALSE)</f>
        <v>1349405.9680000001</v>
      </c>
      <c r="V10" s="1">
        <f>VLOOKUP($A10,'BASE PAN - RECEITAS'!$A$3:$AX$22,50,FALSE)</f>
        <v>1373620.2859</v>
      </c>
      <c r="W10" s="1">
        <f>VLOOKUP($A10,'BASE PAN - RECEITAS'!$A$3:$BA$22,53,FALSE)</f>
        <v>1397834.6039</v>
      </c>
      <c r="X10" s="1">
        <f>VLOOKUP($A10,'BASE PAN - RECEITAS'!$A$3:$BD$22,56,FALSE)</f>
        <v>1422048.9217999999</v>
      </c>
      <c r="Y10" s="1">
        <f>VLOOKUP($A10,'BASE PAN - RECEITAS'!$A$3:$BG$22,59,FALSE)</f>
        <v>1446279.7213999999</v>
      </c>
      <c r="Z10" s="1">
        <f>VLOOKUP($A10,'BASE PAN - RECEITAS'!$A$3:$BJ$22,62,FALSE)</f>
        <v>1470494.0393999999</v>
      </c>
      <c r="AA10" s="1">
        <f>VLOOKUP($A10,'BASE PAN - RECEITAS'!$A$3:$BM$22,65,FALSE)</f>
        <v>1494708.3573</v>
      </c>
      <c r="AB10" s="1">
        <f>VLOOKUP($A10,'BASE PAN - RECEITAS'!$A$3:$BP$22,68,FALSE)</f>
        <v>1518922.6753</v>
      </c>
      <c r="AC10" s="1">
        <f>VLOOKUP($A10,'BASE PAN - RECEITAS'!$A$3:$BS$22,71,FALSE)</f>
        <v>1543136.9931999999</v>
      </c>
      <c r="AD10" s="1">
        <f>VLOOKUP($A10,'BASE PAN - RECEITAS'!$A$3:$BV$22,74,FALSE)</f>
        <v>1567351.3112000001</v>
      </c>
      <c r="AE10" s="1">
        <f>VLOOKUP($A10,'BASE PAN - RECEITAS'!$A$3:$BY$22,77,FALSE)</f>
        <v>1591582.1107999999</v>
      </c>
      <c r="AF10" s="1">
        <f>VLOOKUP($A10,'BASE PAN - RECEITAS'!$A$3:$CD$22,80,FALSE)</f>
        <v>1615796.4287</v>
      </c>
      <c r="AG10" s="1">
        <f>VLOOKUP($A10,'BASE PAN - RECEITAS'!$A$3:$CG$22,83,FALSE)</f>
        <v>1640010.7467</v>
      </c>
      <c r="AH10" s="1">
        <f>VLOOKUP($A10,'BASE PAN - RECEITAS'!$A$3:$CJ$22,86,FALSE)</f>
        <v>1664225.0645999999</v>
      </c>
      <c r="AI10" s="1">
        <f>VLOOKUP($A10,'BASE PAN - RECEITAS'!$A$3:$CM$22,89,FALSE)</f>
        <v>1688439.3825999999</v>
      </c>
      <c r="AJ10" s="1">
        <f>VLOOKUP($A10,'BASE PAN - RECEITAS'!$A$3:$CN$22,92,FALSE)</f>
        <v>1713237.1646666676</v>
      </c>
      <c r="AK10" s="1">
        <f>VLOOKUP($A10,'BASE PAN - RECEITAS'!$A$3:$CQ$22,95,FALSE)</f>
        <v>1736960.003743656</v>
      </c>
      <c r="AL10" s="1">
        <f t="shared" si="1"/>
        <v>39980324.472410329</v>
      </c>
      <c r="AM10" s="1">
        <f t="shared" si="0"/>
        <v>16469296.947100002</v>
      </c>
      <c r="AN10" s="3">
        <f>VLOOKUP($A10,'BASE PAN - CAPEX'!$A$3:$H$22,8,FALSE)</f>
        <v>3</v>
      </c>
    </row>
    <row r="11" spans="1:40" x14ac:dyDescent="0.25">
      <c r="A11" t="s">
        <v>67</v>
      </c>
      <c r="B11" t="s">
        <v>98</v>
      </c>
      <c r="C11">
        <v>261390</v>
      </c>
      <c r="D11" t="s">
        <v>69</v>
      </c>
      <c r="E11" t="s">
        <v>70</v>
      </c>
      <c r="F11" t="s">
        <v>31</v>
      </c>
      <c r="G11" t="s">
        <v>28</v>
      </c>
      <c r="H11" s="1">
        <f>VLOOKUP($A11,'BASE PAN - RECEITAS'!$A$3:$E$22,5,FALSE)/2</f>
        <v>102915.74205</v>
      </c>
      <c r="I11" s="1">
        <f>VLOOKUP($A11,'BASE PAN - RECEITAS'!$A$3:$I$22,9,FALSE)/2</f>
        <v>107364.90429999999</v>
      </c>
      <c r="J11" s="1">
        <f>VLOOKUP($A11,'BASE PAN - RECEITAS'!$A$3:$M$22,13,FALSE)/2</f>
        <v>111148.4564</v>
      </c>
      <c r="K11" s="1">
        <f>VLOOKUP($A11,'BASE PAN - RECEITAS'!$A$3:$Q$22,17,FALSE)</f>
        <v>229252.7346</v>
      </c>
      <c r="L11" s="1">
        <f>VLOOKUP($A11,'BASE PAN - RECEITAS'!$A$3:$T$22,20,FALSE)</f>
        <v>235941.79980000001</v>
      </c>
      <c r="M11" s="1">
        <f>VLOOKUP($A11,'BASE PAN - RECEITAS'!$A$3:$W$22,23,FALSE)</f>
        <v>242331.14490000001</v>
      </c>
      <c r="N11" s="1">
        <f>VLOOKUP($A11,'BASE PAN - RECEITAS'!$A$3:$Z$22,26,FALSE)</f>
        <v>248408.9278</v>
      </c>
      <c r="O11" s="1">
        <f>VLOOKUP($A11,'BASE PAN - RECEITAS'!$A$3:$AC$22,29,FALSE)</f>
        <v>254146.8247</v>
      </c>
      <c r="P11" s="1">
        <f>VLOOKUP($A11,'BASE PAN - RECEITAS'!$A$3:$AF$22,32,FALSE)</f>
        <v>259289.9209</v>
      </c>
      <c r="Q11" s="1">
        <f>VLOOKUP($A11,'BASE PAN - RECEITAS'!$A$3:$AI$22,35,FALSE)</f>
        <v>264449.49890000001</v>
      </c>
      <c r="R11" s="1">
        <f>VLOOKUP($A11,'BASE PAN - RECEITAS'!$A$3:$AL$22,38,FALSE)</f>
        <v>269620.91899999999</v>
      </c>
      <c r="S11" s="1">
        <f>VLOOKUP($A11,'BASE PAN - RECEITAS'!$A$3:$AO$22,41,FALSE)</f>
        <v>274905.63449999999</v>
      </c>
      <c r="T11" s="1">
        <f>VLOOKUP($A11,'BASE PAN - RECEITAS'!$A$3:$AR$22,44,FALSE)</f>
        <v>280048.73070000001</v>
      </c>
      <c r="U11" s="1">
        <f>VLOOKUP($A11,'BASE PAN - RECEITAS'!$A$3:$AU$22,47,FALSE)</f>
        <v>285248.47470000002</v>
      </c>
      <c r="V11" s="1">
        <f>VLOOKUP($A11,'BASE PAN - RECEITAS'!$A$3:$AX$22,50,FALSE)</f>
        <v>290533.19010000001</v>
      </c>
      <c r="W11" s="1">
        <f>VLOOKUP($A11,'BASE PAN - RECEITAS'!$A$3:$BA$22,53,FALSE)</f>
        <v>295874.55320000002</v>
      </c>
      <c r="X11" s="1">
        <f>VLOOKUP($A11,'BASE PAN - RECEITAS'!$A$3:$BD$22,56,FALSE)</f>
        <v>301045.97330000001</v>
      </c>
      <c r="Y11" s="1">
        <f>VLOOKUP($A11,'BASE PAN - RECEITAS'!$A$3:$BG$22,59,FALSE)</f>
        <v>306460.46580000001</v>
      </c>
      <c r="Z11" s="1">
        <f>VLOOKUP($A11,'BASE PAN - RECEITAS'!$A$3:$BJ$22,62,FALSE)</f>
        <v>311745.1813</v>
      </c>
      <c r="AA11" s="1">
        <f>VLOOKUP($A11,'BASE PAN - RECEITAS'!$A$3:$BM$22,65,FALSE)</f>
        <v>317058.2206</v>
      </c>
      <c r="AB11" s="1">
        <f>VLOOKUP($A11,'BASE PAN - RECEITAS'!$A$3:$BP$22,68,FALSE)</f>
        <v>322371.2599</v>
      </c>
      <c r="AC11" s="1">
        <f>VLOOKUP($A11,'BASE PAN - RECEITAS'!$A$3:$BS$22,71,FALSE)</f>
        <v>327627.65149999998</v>
      </c>
      <c r="AD11" s="1">
        <f>VLOOKUP($A11,'BASE PAN - RECEITAS'!$A$3:$BV$22,74,FALSE)</f>
        <v>332770.74770000001</v>
      </c>
      <c r="AE11" s="1">
        <f>VLOOKUP($A11,'BASE PAN - RECEITAS'!$A$3:$BY$22,77,FALSE)</f>
        <v>338027.13939999999</v>
      </c>
      <c r="AF11" s="1">
        <f>VLOOKUP($A11,'BASE PAN - RECEITAS'!$A$3:$CD$22,80,FALSE)</f>
        <v>343056.94030000002</v>
      </c>
      <c r="AG11" s="1">
        <f>VLOOKUP($A11,'BASE PAN - RECEITAS'!$A$3:$CG$22,83,FALSE)</f>
        <v>348058.41739999998</v>
      </c>
      <c r="AH11" s="1">
        <f>VLOOKUP($A11,'BASE PAN - RECEITAS'!$A$3:$CJ$22,86,FALSE)</f>
        <v>353217.99530000001</v>
      </c>
      <c r="AI11" s="1">
        <f>VLOOKUP($A11,'BASE PAN - RECEITAS'!$A$3:$CM$22,89,FALSE)</f>
        <v>358417.73920000001</v>
      </c>
      <c r="AJ11" s="1">
        <f>VLOOKUP($A11,'BASE PAN - RECEITAS'!$A$3:$CN$22,92,FALSE)</f>
        <v>365928.95815714262</v>
      </c>
      <c r="AK11" s="1">
        <f>VLOOKUP($A11,'BASE PAN - RECEITAS'!$A$3:$CQ$22,95,FALSE)</f>
        <v>370788.22638594173</v>
      </c>
      <c r="AL11" s="1">
        <f t="shared" si="1"/>
        <v>8448056.3727930821</v>
      </c>
      <c r="AM11" s="1">
        <f t="shared" si="0"/>
        <v>3455606.9033500003</v>
      </c>
      <c r="AN11" s="3">
        <f>VLOOKUP($A11,'BASE PAN - CAPEX'!$A$3:$H$22,8,FALSE)</f>
        <v>1</v>
      </c>
    </row>
    <row r="12" spans="1:40" x14ac:dyDescent="0.25">
      <c r="A12" t="s">
        <v>71</v>
      </c>
      <c r="B12" t="s">
        <v>99</v>
      </c>
      <c r="C12">
        <v>110004</v>
      </c>
      <c r="D12" t="s">
        <v>73</v>
      </c>
      <c r="E12" t="s">
        <v>72</v>
      </c>
      <c r="F12" t="s">
        <v>25</v>
      </c>
      <c r="G12" t="s">
        <v>28</v>
      </c>
      <c r="H12" s="1">
        <f>VLOOKUP($A12,'BASE PAN - RECEITAS'!$A$3:$E$22,5,FALSE)/2</f>
        <v>816955.08059999999</v>
      </c>
      <c r="I12" s="1">
        <f>VLOOKUP($A12,'BASE PAN - RECEITAS'!$A$3:$I$22,9,FALSE)/2</f>
        <v>867512.27875000006</v>
      </c>
      <c r="J12" s="1">
        <f>VLOOKUP($A12,'BASE PAN - RECEITAS'!$A$3:$M$22,13,FALSE)/2</f>
        <v>911059.34865000006</v>
      </c>
      <c r="K12" s="1">
        <f>VLOOKUP($A12,'BASE PAN - RECEITAS'!$A$3:$Q$22,17,FALSE)</f>
        <v>1903424.8081</v>
      </c>
      <c r="L12" s="1">
        <f>VLOOKUP($A12,'BASE PAN - RECEITAS'!$A$3:$T$22,20,FALSE)</f>
        <v>1980372.8075000001</v>
      </c>
      <c r="M12" s="1">
        <f>VLOOKUP($A12,'BASE PAN - RECEITAS'!$A$3:$W$22,23,FALSE)</f>
        <v>2054394.8307</v>
      </c>
      <c r="N12" s="1">
        <f>VLOOKUP($A12,'BASE PAN - RECEITAS'!$A$3:$Z$22,26,FALSE)</f>
        <v>2123657.4424000001</v>
      </c>
      <c r="O12" s="1">
        <f>VLOOKUP($A12,'BASE PAN - RECEITAS'!$A$3:$AC$22,29,FALSE)</f>
        <v>2188072.2906999998</v>
      </c>
      <c r="P12" s="1">
        <f>VLOOKUP($A12,'BASE PAN - RECEITAS'!$A$3:$AF$22,32,FALSE)</f>
        <v>2248651.4780000001</v>
      </c>
      <c r="Q12" s="1">
        <f>VLOOKUP($A12,'BASE PAN - RECEITAS'!$A$3:$AI$22,35,FALSE)</f>
        <v>2308891.9528000001</v>
      </c>
      <c r="R12" s="1">
        <f>VLOOKUP($A12,'BASE PAN - RECEITAS'!$A$3:$AL$22,38,FALSE)</f>
        <v>2369133.8533999999</v>
      </c>
      <c r="S12" s="1">
        <f>VLOOKUP($A12,'BASE PAN - RECEITAS'!$A$3:$AO$22,41,FALSE)</f>
        <v>2430846.6387999998</v>
      </c>
      <c r="T12" s="1">
        <f>VLOOKUP($A12,'BASE PAN - RECEITAS'!$A$3:$AR$22,44,FALSE)</f>
        <v>2491663.2351000002</v>
      </c>
      <c r="U12" s="1">
        <f>VLOOKUP($A12,'BASE PAN - RECEITAS'!$A$3:$AU$22,47,FALSE)</f>
        <v>2553903.0063999998</v>
      </c>
      <c r="V12" s="1">
        <f>VLOOKUP($A12,'BASE PAN - RECEITAS'!$A$3:$AX$22,50,FALSE)</f>
        <v>2616041.8247000002</v>
      </c>
      <c r="W12" s="1">
        <f>VLOOKUP($A12,'BASE PAN - RECEITAS'!$A$3:$BA$22,53,FALSE)</f>
        <v>2680059.0962</v>
      </c>
      <c r="X12" s="1">
        <f>VLOOKUP($A12,'BASE PAN - RECEITAS'!$A$3:$BD$22,56,FALSE)</f>
        <v>2745435.3119999999</v>
      </c>
      <c r="Y12" s="1">
        <f>VLOOKUP($A12,'BASE PAN - RECEITAS'!$A$3:$BG$22,59,FALSE)</f>
        <v>2811515.8934999998</v>
      </c>
      <c r="Z12" s="1">
        <f>VLOOKUP($A12,'BASE PAN - RECEITAS'!$A$3:$BJ$22,62,FALSE)</f>
        <v>2876178.4931000001</v>
      </c>
      <c r="AA12" s="1">
        <f>VLOOKUP($A12,'BASE PAN - RECEITAS'!$A$3:$BM$22,65,FALSE)</f>
        <v>2941540.0482999999</v>
      </c>
      <c r="AB12" s="1">
        <f>VLOOKUP($A12,'BASE PAN - RECEITAS'!$A$3:$BP$22,68,FALSE)</f>
        <v>3006805.7171999998</v>
      </c>
      <c r="AC12" s="1">
        <f>VLOOKUP($A12,'BASE PAN - RECEITAS'!$A$3:$BS$22,71,FALSE)</f>
        <v>3067170.4517999999</v>
      </c>
      <c r="AD12" s="1">
        <f>VLOOKUP($A12,'BASE PAN - RECEITAS'!$A$3:$BV$22,74,FALSE)</f>
        <v>3124946.4065999999</v>
      </c>
      <c r="AE12" s="1">
        <f>VLOOKUP($A12,'BASE PAN - RECEITAS'!$A$3:$BY$22,77,FALSE)</f>
        <v>3182306.2736999998</v>
      </c>
      <c r="AF12" s="1">
        <f>VLOOKUP($A12,'BASE PAN - RECEITAS'!$A$3:$CD$22,80,FALSE)</f>
        <v>3237133.8402</v>
      </c>
      <c r="AG12" s="1">
        <f>VLOOKUP($A12,'BASE PAN - RECEITAS'!$A$3:$CG$22,83,FALSE)</f>
        <v>3292495.9268999998</v>
      </c>
      <c r="AH12" s="1">
        <f>VLOOKUP($A12,'BASE PAN - RECEITAS'!$A$3:$CJ$22,86,FALSE)</f>
        <v>3348703.5509000001</v>
      </c>
      <c r="AI12" s="1">
        <f>VLOOKUP($A12,'BASE PAN - RECEITAS'!$A$3:$CM$22,89,FALSE)</f>
        <v>3406096.8506</v>
      </c>
      <c r="AJ12" s="1">
        <f>VLOOKUP($A12,'BASE PAN - RECEITAS'!$A$3:$CN$22,92,FALSE)</f>
        <v>3505947.1425873041</v>
      </c>
      <c r="AK12" s="1">
        <f>VLOOKUP($A12,'BASE PAN - RECEITAS'!$A$3:$CQ$22,95,FALSE)</f>
        <v>3563611.0690394491</v>
      </c>
      <c r="AL12" s="1">
        <f t="shared" si="1"/>
        <v>76654526.949226752</v>
      </c>
      <c r="AM12" s="1">
        <f t="shared" si="0"/>
        <v>29864580.876600001</v>
      </c>
      <c r="AN12" s="3">
        <f>VLOOKUP($A12,'BASE PAN - CAPEX'!$A$3:$H$22,8,FALSE)</f>
        <v>3</v>
      </c>
    </row>
    <row r="13" spans="1:40" x14ac:dyDescent="0.25">
      <c r="A13" t="s">
        <v>76</v>
      </c>
      <c r="B13" t="s">
        <v>100</v>
      </c>
      <c r="C13">
        <v>170210</v>
      </c>
      <c r="D13" t="s">
        <v>78</v>
      </c>
      <c r="E13" t="s">
        <v>77</v>
      </c>
      <c r="F13" t="s">
        <v>27</v>
      </c>
      <c r="G13" t="s">
        <v>28</v>
      </c>
      <c r="H13" s="1">
        <f>VLOOKUP($A13,'BASE PAN - RECEITAS'!$A$3:$E$22,5,FALSE)/2</f>
        <v>573561.69330000004</v>
      </c>
      <c r="I13" s="1">
        <f>VLOOKUP($A13,'BASE PAN - RECEITAS'!$A$3:$I$22,9,FALSE)/2</f>
        <v>609075.30094999995</v>
      </c>
      <c r="J13" s="1">
        <f>VLOOKUP($A13,'BASE PAN - RECEITAS'!$A$3:$M$22,13,FALSE)/2</f>
        <v>636847.18334999995</v>
      </c>
      <c r="K13" s="1">
        <f>VLOOKUP($A13,'BASE PAN - RECEITAS'!$A$3:$Q$22,17,FALSE)</f>
        <v>1321923.0427999999</v>
      </c>
      <c r="L13" s="1">
        <f>VLOOKUP($A13,'BASE PAN - RECEITAS'!$A$3:$T$22,20,FALSE)</f>
        <v>1366331.5730999999</v>
      </c>
      <c r="M13" s="1">
        <f>VLOOKUP($A13,'BASE PAN - RECEITAS'!$A$3:$W$22,23,FALSE)</f>
        <v>1408030.0412000001</v>
      </c>
      <c r="N13" s="1">
        <f>VLOOKUP($A13,'BASE PAN - RECEITAS'!$A$3:$Z$22,26,FALSE)</f>
        <v>1446369.2196</v>
      </c>
      <c r="O13" s="1">
        <f>VLOOKUP($A13,'BASE PAN - RECEITAS'!$A$3:$AC$22,29,FALSE)</f>
        <v>1480590.0211</v>
      </c>
      <c r="P13" s="1">
        <f>VLOOKUP($A13,'BASE PAN - RECEITAS'!$A$3:$AF$22,32,FALSE)</f>
        <v>1512053.6440000001</v>
      </c>
      <c r="Q13" s="1">
        <f>VLOOKUP($A13,'BASE PAN - RECEITAS'!$A$3:$AI$22,35,FALSE)</f>
        <v>1543203.3145999999</v>
      </c>
      <c r="R13" s="1">
        <f>VLOOKUP($A13,'BASE PAN - RECEITAS'!$A$3:$AL$22,38,FALSE)</f>
        <v>1573850.6614999999</v>
      </c>
      <c r="S13" s="1">
        <f>VLOOKUP($A13,'BASE PAN - RECEITAS'!$A$3:$AO$22,41,FALSE)</f>
        <v>1605340.0778999999</v>
      </c>
      <c r="T13" s="1">
        <f>VLOOKUP($A13,'BASE PAN - RECEITAS'!$A$3:$AR$22,44,FALSE)</f>
        <v>1635799.0534000001</v>
      </c>
      <c r="U13" s="1">
        <f>VLOOKUP($A13,'BASE PAN - RECEITAS'!$A$3:$AU$22,47,FALSE)</f>
        <v>1666760.3526000001</v>
      </c>
      <c r="V13" s="1">
        <f>VLOOKUP($A13,'BASE PAN - RECEITAS'!$A$3:$AX$22,50,FALSE)</f>
        <v>1697169.4778</v>
      </c>
      <c r="W13" s="1">
        <f>VLOOKUP($A13,'BASE PAN - RECEITAS'!$A$3:$BA$22,53,FALSE)</f>
        <v>1728742.0053000001</v>
      </c>
      <c r="X13" s="1">
        <f>VLOOKUP($A13,'BASE PAN - RECEITAS'!$A$3:$BD$22,56,FALSE)</f>
        <v>1760362.6043</v>
      </c>
      <c r="Y13" s="1">
        <f>VLOOKUP($A13,'BASE PAN - RECEITAS'!$A$3:$BG$22,59,FALSE)</f>
        <v>1792574.111</v>
      </c>
      <c r="Z13" s="1">
        <f>VLOOKUP($A13,'BASE PAN - RECEITAS'!$A$3:$BJ$22,62,FALSE)</f>
        <v>1823315.6436000001</v>
      </c>
      <c r="AA13" s="1">
        <f>VLOOKUP($A13,'BASE PAN - RECEITAS'!$A$3:$BM$22,65,FALSE)</f>
        <v>1854833.5874000001</v>
      </c>
      <c r="AB13" s="1">
        <f>VLOOKUP($A13,'BASE PAN - RECEITAS'!$A$3:$BP$22,68,FALSE)</f>
        <v>1885355.3533999999</v>
      </c>
      <c r="AC13" s="1">
        <f>VLOOKUP($A13,'BASE PAN - RECEITAS'!$A$3:$BS$22,71,FALSE)</f>
        <v>1914270.3609</v>
      </c>
      <c r="AD13" s="1">
        <f>VLOOKUP($A13,'BASE PAN - RECEITAS'!$A$3:$BV$22,74,FALSE)</f>
        <v>1942092.1370000001</v>
      </c>
      <c r="AE13" s="1">
        <f>VLOOKUP($A13,'BASE PAN - RECEITAS'!$A$3:$BY$22,77,FALSE)</f>
        <v>1970222.2637</v>
      </c>
      <c r="AF13" s="1">
        <f>VLOOKUP($A13,'BASE PAN - RECEITAS'!$A$3:$CD$22,80,FALSE)</f>
        <v>1996568.4639999999</v>
      </c>
      <c r="AG13" s="1">
        <f>VLOOKUP($A13,'BASE PAN - RECEITAS'!$A$3:$CG$22,83,FALSE)</f>
        <v>2022349.5501999999</v>
      </c>
      <c r="AH13" s="1">
        <f>VLOOKUP($A13,'BASE PAN - RECEITAS'!$A$3:$CJ$22,86,FALSE)</f>
        <v>2048457.5288</v>
      </c>
      <c r="AI13" s="1">
        <f>VLOOKUP($A13,'BASE PAN - RECEITAS'!$A$3:$CM$22,89,FALSE)</f>
        <v>2075054.8909</v>
      </c>
      <c r="AJ13" s="1">
        <f>VLOOKUP($A13,'BASE PAN - RECEITAS'!$A$3:$CN$22,92,FALSE)</f>
        <v>2140215.0125365108</v>
      </c>
      <c r="AK13" s="1">
        <f>VLOOKUP($A13,'BASE PAN - RECEITAS'!$A$3:$CQ$22,95,FALSE)</f>
        <v>2166282.6058409289</v>
      </c>
      <c r="AL13" s="1">
        <f t="shared" si="1"/>
        <v>49197600.776077442</v>
      </c>
      <c r="AM13" s="1">
        <f t="shared" si="0"/>
        <v>20076904.657199997</v>
      </c>
      <c r="AN13" s="3">
        <f>VLOOKUP($A13,'BASE PAN - CAPEX'!$A$3:$H$22,8,FALSE)</f>
        <v>3</v>
      </c>
    </row>
    <row r="14" spans="1:40" x14ac:dyDescent="0.25">
      <c r="A14" t="s">
        <v>80</v>
      </c>
      <c r="B14" t="s">
        <v>101</v>
      </c>
      <c r="C14">
        <v>221060</v>
      </c>
      <c r="D14" t="s">
        <v>82</v>
      </c>
      <c r="E14" t="s">
        <v>83</v>
      </c>
      <c r="F14" t="s">
        <v>33</v>
      </c>
      <c r="G14" t="s">
        <v>28</v>
      </c>
      <c r="H14" s="1">
        <f>VLOOKUP($A14,'BASE PAN - RECEITAS'!$A$3:$E$22,5,FALSE)/2</f>
        <v>407908.05810000002</v>
      </c>
      <c r="I14" s="1">
        <f>VLOOKUP($A14,'BASE PAN - RECEITAS'!$A$3:$I$22,9,FALSE)/2</f>
        <v>430985.53739999997</v>
      </c>
      <c r="J14" s="1">
        <f>VLOOKUP($A14,'BASE PAN - RECEITAS'!$A$3:$M$22,13,FALSE)/2</f>
        <v>451092.6495</v>
      </c>
      <c r="K14" s="1">
        <f>VLOOKUP($A14,'BASE PAN - RECEITAS'!$A$3:$Q$22,17,FALSE)</f>
        <v>939648.51399999997</v>
      </c>
      <c r="L14" s="1">
        <f>VLOOKUP($A14,'BASE PAN - RECEITAS'!$A$3:$T$22,20,FALSE)</f>
        <v>979110.9314</v>
      </c>
      <c r="M14" s="1">
        <f>VLOOKUP($A14,'BASE PAN - RECEITAS'!$A$3:$W$22,23,FALSE)</f>
        <v>991112.96589999995</v>
      </c>
      <c r="N14" s="1">
        <f>VLOOKUP($A14,'BASE PAN - RECEITAS'!$A$3:$Z$22,26,FALSE)</f>
        <v>1035955.2095999999</v>
      </c>
      <c r="O14" s="1">
        <f>VLOOKUP($A14,'BASE PAN - RECEITAS'!$A$3:$AC$22,29,FALSE)</f>
        <v>1080560.3759999999</v>
      </c>
      <c r="P14" s="1">
        <f>VLOOKUP($A14,'BASE PAN - RECEITAS'!$A$3:$AF$22,32,FALSE)</f>
        <v>1091317.7549999999</v>
      </c>
      <c r="Q14" s="1">
        <f>VLOOKUP($A14,'BASE PAN - RECEITAS'!$A$3:$AI$22,35,FALSE)</f>
        <v>1135640.2555</v>
      </c>
      <c r="R14" s="1">
        <f>VLOOKUP($A14,'BASE PAN - RECEITAS'!$A$3:$AL$22,38,FALSE)</f>
        <v>1146178.0086000001</v>
      </c>
      <c r="S14" s="1">
        <f>VLOOKUP($A14,'BASE PAN - RECEITAS'!$A$3:$AO$22,41,FALSE)</f>
        <v>1191542.8744999999</v>
      </c>
      <c r="T14" s="1">
        <f>VLOOKUP($A14,'BASE PAN - RECEITAS'!$A$3:$AR$22,44,FALSE)</f>
        <v>1201707.5604999999</v>
      </c>
      <c r="U14" s="1">
        <f>VLOOKUP($A14,'BASE PAN - RECEITAS'!$A$3:$AU$22,47,FALSE)</f>
        <v>1211931.5157999999</v>
      </c>
      <c r="V14" s="1">
        <f>VLOOKUP($A14,'BASE PAN - RECEITAS'!$A$3:$AX$22,50,FALSE)</f>
        <v>1256981.2021000001</v>
      </c>
      <c r="W14" s="1">
        <f>VLOOKUP($A14,'BASE PAN - RECEITAS'!$A$3:$BA$22,53,FALSE)</f>
        <v>1267649.6771</v>
      </c>
      <c r="X14" s="1">
        <f>VLOOKUP($A14,'BASE PAN - RECEITAS'!$A$3:$BD$22,56,FALSE)</f>
        <v>1314076.2379999999</v>
      </c>
      <c r="Y14" s="1">
        <f>VLOOKUP($A14,'BASE PAN - RECEITAS'!$A$3:$BG$22,59,FALSE)</f>
        <v>1325032.3987</v>
      </c>
      <c r="Z14" s="1">
        <f>VLOOKUP($A14,'BASE PAN - RECEITAS'!$A$3:$BJ$22,62,FALSE)</f>
        <v>1371089.6631</v>
      </c>
      <c r="AA14" s="1">
        <f>VLOOKUP($A14,'BASE PAN - RECEITAS'!$A$3:$BM$22,65,FALSE)</f>
        <v>1381076.5412000001</v>
      </c>
      <c r="AB14" s="1">
        <f>VLOOKUP($A14,'BASE PAN - RECEITAS'!$A$3:$BP$22,68,FALSE)</f>
        <v>1427163.4402000001</v>
      </c>
      <c r="AC14" s="1">
        <f>VLOOKUP($A14,'BASE PAN - RECEITAS'!$A$3:$BS$22,71,FALSE)</f>
        <v>1436512.0366</v>
      </c>
      <c r="AD14" s="1">
        <f>VLOOKUP($A14,'BASE PAN - RECEITAS'!$A$3:$BV$22,74,FALSE)</f>
        <v>1482586.7522</v>
      </c>
      <c r="AE14" s="1">
        <f>VLOOKUP($A14,'BASE PAN - RECEITAS'!$A$3:$BY$22,77,FALSE)</f>
        <v>1491121.5323000001</v>
      </c>
      <c r="AF14" s="1">
        <f>VLOOKUP($A14,'BASE PAN - RECEITAS'!$A$3:$CD$22,80,FALSE)</f>
        <v>1535963.7759</v>
      </c>
      <c r="AG14" s="1">
        <f>VLOOKUP($A14,'BASE PAN - RECEITAS'!$A$3:$CG$22,83,FALSE)</f>
        <v>1542750.1114000001</v>
      </c>
      <c r="AH14" s="1">
        <f>VLOOKUP($A14,'BASE PAN - RECEITAS'!$A$3:$CJ$22,86,FALSE)</f>
        <v>1549566.0815999999</v>
      </c>
      <c r="AI14" s="1">
        <f>VLOOKUP($A14,'BASE PAN - RECEITAS'!$A$3:$CM$22,89,FALSE)</f>
        <v>1556505.6041000001</v>
      </c>
      <c r="AJ14" s="1">
        <f>VLOOKUP($A14,'BASE PAN - RECEITAS'!$A$3:$CN$22,92,FALSE)</f>
        <v>1631588.2819634899</v>
      </c>
      <c r="AK14" s="1">
        <f>VLOOKUP($A14,'BASE PAN - RECEITAS'!$A$3:$CQ$22,95,FALSE)</f>
        <v>1655429.525820978</v>
      </c>
      <c r="AL14" s="1">
        <f t="shared" si="1"/>
        <v>36519785.074084468</v>
      </c>
      <c r="AM14" s="1">
        <f t="shared" si="0"/>
        <v>14551673.413899997</v>
      </c>
      <c r="AN14" s="3">
        <f>VLOOKUP($A14,'BASE PAN - CAPEX'!$A$3:$H$22,8,FALSE)</f>
        <v>2</v>
      </c>
    </row>
    <row r="15" spans="1:40" x14ac:dyDescent="0.25">
      <c r="A15" t="s">
        <v>85</v>
      </c>
      <c r="B15" t="s">
        <v>86</v>
      </c>
      <c r="C15">
        <v>130340</v>
      </c>
      <c r="D15" t="s">
        <v>87</v>
      </c>
      <c r="E15" t="s">
        <v>86</v>
      </c>
      <c r="F15" t="s">
        <v>30</v>
      </c>
      <c r="G15" t="s">
        <v>28</v>
      </c>
      <c r="H15" s="1">
        <f>VLOOKUP($A15,'BASE PAN - RECEITAS'!$A$3:$E$22,5,FALSE)/2</f>
        <v>1267893.5922999999</v>
      </c>
      <c r="I15" s="1">
        <f>VLOOKUP($A15,'BASE PAN - RECEITAS'!$A$3:$I$22,9,FALSE)/2</f>
        <v>1367226.61445</v>
      </c>
      <c r="J15" s="1">
        <f>VLOOKUP($A15,'BASE PAN - RECEITAS'!$A$3:$M$22,13,FALSE)/2</f>
        <v>1449419.6368499999</v>
      </c>
      <c r="K15" s="1">
        <f>VLOOKUP($A15,'BASE PAN - RECEITAS'!$A$3:$Q$22,17,FALSE)</f>
        <v>3048830.5828</v>
      </c>
      <c r="L15" s="1">
        <f>VLOOKUP($A15,'BASE PAN - RECEITAS'!$A$3:$T$22,20,FALSE)</f>
        <v>3189571.8064000001</v>
      </c>
      <c r="M15" s="1">
        <f>VLOOKUP($A15,'BASE PAN - RECEITAS'!$A$3:$W$22,23,FALSE)</f>
        <v>3326743.1516999998</v>
      </c>
      <c r="N15" s="1">
        <f>VLOOKUP($A15,'BASE PAN - RECEITAS'!$A$3:$Z$22,26,FALSE)</f>
        <v>3456575.2659</v>
      </c>
      <c r="O15" s="1">
        <f>VLOOKUP($A15,'BASE PAN - RECEITAS'!$A$3:$AC$22,29,FALSE)</f>
        <v>3579567.62</v>
      </c>
      <c r="P15" s="1">
        <f>VLOOKUP($A15,'BASE PAN - RECEITAS'!$A$3:$AF$22,32,FALSE)</f>
        <v>3695023.5093999999</v>
      </c>
      <c r="Q15" s="1">
        <f>VLOOKUP($A15,'BASE PAN - RECEITAS'!$A$3:$AI$22,35,FALSE)</f>
        <v>3813563.0745999999</v>
      </c>
      <c r="R15" s="1">
        <f>VLOOKUP($A15,'BASE PAN - RECEITAS'!$A$3:$AL$22,38,FALSE)</f>
        <v>3930172.6329999999</v>
      </c>
      <c r="S15" s="1">
        <f>VLOOKUP($A15,'BASE PAN - RECEITAS'!$A$3:$AO$22,41,FALSE)</f>
        <v>4052272.5652000001</v>
      </c>
      <c r="T15" s="1">
        <f>VLOOKUP($A15,'BASE PAN - RECEITAS'!$A$3:$AR$22,44,FALSE)</f>
        <v>4171613.8753</v>
      </c>
      <c r="U15" s="1">
        <f>VLOOKUP($A15,'BASE PAN - RECEITAS'!$A$3:$AU$22,47,FALSE)</f>
        <v>4295480.3568000002</v>
      </c>
      <c r="V15" s="1">
        <f>VLOOKUP($A15,'BASE PAN - RECEITAS'!$A$3:$AX$22,50,FALSE)</f>
        <v>4419039.1475999998</v>
      </c>
      <c r="W15" s="1">
        <f>VLOOKUP($A15,'BASE PAN - RECEITAS'!$A$3:$BA$22,53,FALSE)</f>
        <v>4548048.7709999997</v>
      </c>
      <c r="X15" s="1">
        <f>VLOOKUP($A15,'BASE PAN - RECEITAS'!$A$3:$BD$22,56,FALSE)</f>
        <v>4677439.4353999998</v>
      </c>
      <c r="Y15" s="1">
        <f>VLOOKUP($A15,'BASE PAN - RECEITAS'!$A$3:$BG$22,59,FALSE)</f>
        <v>4812673.0295000002</v>
      </c>
      <c r="Z15" s="1">
        <f>VLOOKUP($A15,'BASE PAN - RECEITAS'!$A$3:$BJ$22,62,FALSE)</f>
        <v>4943849.4272999996</v>
      </c>
      <c r="AA15" s="1">
        <f>VLOOKUP($A15,'BASE PAN - RECEITAS'!$A$3:$BM$22,65,FALSE)</f>
        <v>5080124.5834999997</v>
      </c>
      <c r="AB15" s="1">
        <f>VLOOKUP($A15,'BASE PAN - RECEITAS'!$A$3:$BP$22,68,FALSE)</f>
        <v>5214272.4162999997</v>
      </c>
      <c r="AC15" s="1">
        <f>VLOOKUP($A15,'BASE PAN - RECEITAS'!$A$3:$BS$22,71,FALSE)</f>
        <v>5350327.2923999997</v>
      </c>
      <c r="AD15" s="1">
        <f>VLOOKUP($A15,'BASE PAN - RECEITAS'!$A$3:$BV$22,74,FALSE)</f>
        <v>5485610.2830999997</v>
      </c>
      <c r="AE15" s="1">
        <f>VLOOKUP($A15,'BASE PAN - RECEITAS'!$A$3:$BY$22,77,FALSE)</f>
        <v>5626562.1922000004</v>
      </c>
      <c r="AF15" s="1">
        <f>VLOOKUP($A15,'BASE PAN - RECEITAS'!$A$3:$CD$22,80,FALSE)</f>
        <v>5762818.7034</v>
      </c>
      <c r="AG15" s="1">
        <f>VLOOKUP($A15,'BASE PAN - RECEITAS'!$A$3:$CG$22,83,FALSE)</f>
        <v>5904600.5802999996</v>
      </c>
      <c r="AH15" s="1">
        <f>VLOOKUP($A15,'BASE PAN - RECEITAS'!$A$3:$CJ$22,86,FALSE)</f>
        <v>6048977.2120000003</v>
      </c>
      <c r="AI15" s="1">
        <f>VLOOKUP($A15,'BASE PAN - RECEITAS'!$A$3:$CM$22,89,FALSE)</f>
        <v>6196788.1607999997</v>
      </c>
      <c r="AJ15" s="1">
        <f>VLOOKUP($A15,'BASE PAN - RECEITAS'!$A$3:$CN$22,92,FALSE)</f>
        <v>6276424.2289460301</v>
      </c>
      <c r="AK15" s="1">
        <f>VLOOKUP($A15,'BASE PAN - RECEITAS'!$A$3:$CQ$22,95,FALSE)</f>
        <v>6399709.0115168989</v>
      </c>
      <c r="AL15" s="1">
        <f t="shared" si="1"/>
        <v>131391218.75996292</v>
      </c>
      <c r="AM15" s="1">
        <f t="shared" si="0"/>
        <v>49062993.432299994</v>
      </c>
      <c r="AN15" s="3">
        <f>VLOOKUP($A15,'BASE PAN - CAPEX'!$A$3:$H$22,8,FALSE)</f>
        <v>3</v>
      </c>
    </row>
    <row r="16" spans="1:40" x14ac:dyDescent="0.25">
      <c r="A16" t="s">
        <v>130</v>
      </c>
      <c r="B16" t="s">
        <v>131</v>
      </c>
      <c r="C16">
        <v>210170</v>
      </c>
      <c r="D16" t="s">
        <v>136</v>
      </c>
      <c r="E16" t="s">
        <v>131</v>
      </c>
      <c r="F16" t="s">
        <v>26</v>
      </c>
      <c r="G16" t="s">
        <v>28</v>
      </c>
      <c r="H16" s="1">
        <f>VLOOKUP($A16,'BASE PAN - RECEITAS'!$A$3:$E$22,5,FALSE)/2</f>
        <v>1481364.2590999999</v>
      </c>
      <c r="I16" s="1">
        <f>VLOOKUP($A16,'BASE PAN - RECEITAS'!$A$3:$I$22,9,FALSE)/2</f>
        <v>1572427.3032500001</v>
      </c>
      <c r="J16" s="1">
        <f>VLOOKUP($A16,'BASE PAN - RECEITAS'!$A$3:$M$22,13,FALSE)/2</f>
        <v>1651080.983</v>
      </c>
      <c r="K16" s="1">
        <f>VLOOKUP($A16,'BASE PAN - RECEITAS'!$A$3:$Q$22,17,FALSE)</f>
        <v>3448125.4833</v>
      </c>
      <c r="L16" s="1">
        <f>VLOOKUP($A16,'BASE PAN - RECEITAS'!$A$3:$T$22,20,FALSE)</f>
        <v>3586096.9974000002</v>
      </c>
      <c r="M16" s="1">
        <f>VLOOKUP($A16,'BASE PAN - RECEITAS'!$A$3:$W$22,23,FALSE)</f>
        <v>3726422.1332999999</v>
      </c>
      <c r="N16" s="1">
        <f>VLOOKUP($A16,'BASE PAN - RECEITAS'!$A$3:$Z$22,26,FALSE)</f>
        <v>3858020.4534</v>
      </c>
      <c r="O16" s="1">
        <f>VLOOKUP($A16,'BASE PAN - RECEITAS'!$A$3:$AC$22,29,FALSE)</f>
        <v>3977930.4745</v>
      </c>
      <c r="P16" s="1">
        <f>VLOOKUP($A16,'BASE PAN - RECEITAS'!$A$3:$AF$22,32,FALSE)</f>
        <v>4094473.8352999999</v>
      </c>
      <c r="Q16" s="1">
        <f>VLOOKUP($A16,'BASE PAN - RECEITAS'!$A$3:$AI$22,35,FALSE)</f>
        <v>4205060.9313000003</v>
      </c>
      <c r="R16" s="1">
        <f>VLOOKUP($A16,'BASE PAN - RECEITAS'!$A$3:$AL$22,38,FALSE)</f>
        <v>4319137.1138000004</v>
      </c>
      <c r="S16" s="1">
        <f>VLOOKUP($A16,'BASE PAN - RECEITAS'!$A$3:$AO$22,41,FALSE)</f>
        <v>4435554.6316999998</v>
      </c>
      <c r="T16" s="1">
        <f>VLOOKUP($A16,'BASE PAN - RECEITAS'!$A$3:$AR$22,44,FALSE)</f>
        <v>4552625.7366000004</v>
      </c>
      <c r="U16" s="1">
        <f>VLOOKUP($A16,'BASE PAN - RECEITAS'!$A$3:$AU$22,47,FALSE)</f>
        <v>4668317.5110999998</v>
      </c>
      <c r="V16" s="1">
        <f>VLOOKUP($A16,'BASE PAN - RECEITAS'!$A$3:$AX$22,50,FALSE)</f>
        <v>4783532.2242999999</v>
      </c>
      <c r="W16" s="1">
        <f>VLOOKUP($A16,'BASE PAN - RECEITAS'!$A$3:$BA$22,53,FALSE)</f>
        <v>4902364.9093000004</v>
      </c>
      <c r="X16" s="1">
        <f>VLOOKUP($A16,'BASE PAN - RECEITAS'!$A$3:$BD$22,56,FALSE)</f>
        <v>5017852.8054999998</v>
      </c>
      <c r="Y16" s="1">
        <f>VLOOKUP($A16,'BASE PAN - RECEITAS'!$A$3:$BG$22,59,FALSE)</f>
        <v>5141293.2540999996</v>
      </c>
      <c r="Z16" s="1">
        <f>VLOOKUP($A16,'BASE PAN - RECEITAS'!$A$3:$BJ$22,62,FALSE)</f>
        <v>5258249.6937999995</v>
      </c>
      <c r="AA16" s="1">
        <f>VLOOKUP($A16,'BASE PAN - RECEITAS'!$A$3:$BM$22,65,FALSE)</f>
        <v>5376700.8562000003</v>
      </c>
      <c r="AB16" s="1">
        <f>VLOOKUP($A16,'BASE PAN - RECEITAS'!$A$3:$BP$22,68,FALSE)</f>
        <v>5500109.3417999996</v>
      </c>
      <c r="AC16" s="1">
        <f>VLOOKUP($A16,'BASE PAN - RECEITAS'!$A$3:$BS$22,71,FALSE)</f>
        <v>5609626.8531999998</v>
      </c>
      <c r="AD16" s="1">
        <f>VLOOKUP($A16,'BASE PAN - RECEITAS'!$A$3:$BV$22,74,FALSE)</f>
        <v>5724378.5941000003</v>
      </c>
      <c r="AE16" s="1">
        <f>VLOOKUP($A16,'BASE PAN - RECEITAS'!$A$3:$BY$22,77,FALSE)</f>
        <v>5835400.4227999998</v>
      </c>
      <c r="AF16" s="1">
        <f>VLOOKUP($A16,'BASE PAN - RECEITAS'!$A$3:$CD$22,80,FALSE)</f>
        <v>5945665.2434</v>
      </c>
      <c r="AG16" s="1">
        <f>VLOOKUP($A16,'BASE PAN - RECEITAS'!$A$3:$CG$22,83,FALSE)</f>
        <v>6057619.0351</v>
      </c>
      <c r="AH16" s="1">
        <f>VLOOKUP($A16,'BASE PAN - RECEITAS'!$A$3:$CJ$22,86,FALSE)</f>
        <v>6171374.7994999997</v>
      </c>
      <c r="AI16" s="1">
        <f>VLOOKUP($A16,'BASE PAN - RECEITAS'!$A$3:$CM$22,89,FALSE)</f>
        <v>6287384.5323999999</v>
      </c>
      <c r="AJ16" s="1">
        <f>VLOOKUP($A16,'BASE PAN - RECEITAS'!$A$3:$CN$22,92,FALSE)</f>
        <v>6446304.7212055624</v>
      </c>
      <c r="AK16" s="1">
        <f>VLOOKUP($A16,'BASE PAN - RECEITAS'!$A$3:$CQ$22,95,FALSE)</f>
        <v>6555572.2387119234</v>
      </c>
      <c r="AL16" s="1">
        <f t="shared" si="1"/>
        <v>140190067.37246752</v>
      </c>
      <c r="AM16" s="1">
        <f t="shared" si="0"/>
        <v>54360170.071350001</v>
      </c>
      <c r="AN16" s="3">
        <f>VLOOKUP($A16,'BASE PAN - CAPEX'!$A$3:$H$22,8,FALSE)</f>
        <v>3</v>
      </c>
    </row>
    <row r="17" spans="1:41" x14ac:dyDescent="0.25">
      <c r="A17" t="s">
        <v>91</v>
      </c>
      <c r="B17" s="4" t="s">
        <v>132</v>
      </c>
      <c r="C17">
        <v>510677</v>
      </c>
      <c r="D17" t="s">
        <v>137</v>
      </c>
      <c r="E17" t="str">
        <f>VLOOKUP(A17,'BASE PAN - CAPEX'!$A$3:$D$22,2,FALSE)</f>
        <v>PORTO ALEGRE DO NORTE</v>
      </c>
      <c r="F17" t="s">
        <v>32</v>
      </c>
      <c r="G17" t="s">
        <v>28</v>
      </c>
      <c r="H17" s="1">
        <f>VLOOKUP($A17,'BASE PAN - RECEITAS'!$A$3:$E$22,5,FALSE)/2</f>
        <v>39474.434099999999</v>
      </c>
      <c r="I17" s="1">
        <f>VLOOKUP($A17,'BASE PAN - RECEITAS'!$A$3:$I$22,9,FALSE)/2</f>
        <v>39516.919849999998</v>
      </c>
      <c r="J17" s="1">
        <f>VLOOKUP($A17,'BASE PAN - RECEITAS'!$A$3:$M$22,13,FALSE)/2</f>
        <v>39545.243699999999</v>
      </c>
      <c r="K17" s="1">
        <f>VLOOKUP($A17,'BASE PAN - RECEITAS'!$A$3:$Q$22,17,FALSE)</f>
        <v>79175.458899999998</v>
      </c>
      <c r="L17" s="1">
        <f>VLOOKUP($A17,'BASE PAN - RECEITAS'!$A$3:$T$22,20,FALSE)</f>
        <v>79260.430399999997</v>
      </c>
      <c r="M17" s="1">
        <f>VLOOKUP($A17,'BASE PAN - RECEITAS'!$A$3:$W$22,23,FALSE)</f>
        <v>79345.401899999997</v>
      </c>
      <c r="N17" s="1">
        <f>VLOOKUP($A17,'BASE PAN - RECEITAS'!$A$3:$Z$22,26,FALSE)</f>
        <v>79402.049599999998</v>
      </c>
      <c r="O17" s="1">
        <f>VLOOKUP($A17,'BASE PAN - RECEITAS'!$A$3:$AC$22,29,FALSE)</f>
        <v>79487.021099999998</v>
      </c>
      <c r="P17" s="1">
        <f>VLOOKUP($A17,'BASE PAN - RECEITAS'!$A$3:$AF$22,32,FALSE)</f>
        <v>79571.992599999998</v>
      </c>
      <c r="Q17" s="1">
        <f>VLOOKUP($A17,'BASE PAN - RECEITAS'!$A$3:$AI$22,35,FALSE)</f>
        <v>79656.964099999997</v>
      </c>
      <c r="R17" s="1">
        <f>VLOOKUP($A17,'BASE PAN - RECEITAS'!$A$3:$AL$22,38,FALSE)</f>
        <v>79741.935700000002</v>
      </c>
      <c r="S17" s="1">
        <f>VLOOKUP($A17,'BASE PAN - RECEITAS'!$A$3:$AO$22,41,FALSE)</f>
        <v>79798.583299999998</v>
      </c>
      <c r="T17" s="1">
        <f>VLOOKUP($A17,'BASE PAN - RECEITAS'!$A$3:$AR$22,44,FALSE)</f>
        <v>79883.554799999998</v>
      </c>
      <c r="U17" s="1">
        <f>VLOOKUP($A17,'BASE PAN - RECEITAS'!$A$3:$AU$22,47,FALSE)</f>
        <v>79968.526400000002</v>
      </c>
      <c r="V17" s="1">
        <f>VLOOKUP($A17,'BASE PAN - RECEITAS'!$A$3:$AX$22,50,FALSE)</f>
        <v>80053.497900000002</v>
      </c>
      <c r="W17" s="1">
        <f>VLOOKUP($A17,'BASE PAN - RECEITAS'!$A$3:$BA$22,53,FALSE)</f>
        <v>80138.469400000002</v>
      </c>
      <c r="X17" s="1">
        <f>VLOOKUP($A17,'BASE PAN - RECEITAS'!$A$3:$BD$22,56,FALSE)</f>
        <v>80223.440900000001</v>
      </c>
      <c r="Y17" s="1">
        <f>VLOOKUP($A17,'BASE PAN - RECEITAS'!$A$3:$BG$22,59,FALSE)</f>
        <v>80308.412400000001</v>
      </c>
      <c r="Z17" s="1">
        <f>VLOOKUP($A17,'BASE PAN - RECEITAS'!$A$3:$BJ$22,62,FALSE)</f>
        <v>80393.383900000001</v>
      </c>
      <c r="AA17" s="1">
        <f>VLOOKUP($A17,'BASE PAN - RECEITAS'!$A$3:$BM$22,65,FALSE)</f>
        <v>80478.3554</v>
      </c>
      <c r="AB17" s="1">
        <f>VLOOKUP($A17,'BASE PAN - RECEITAS'!$A$3:$BP$22,68,FALSE)</f>
        <v>80563.3269</v>
      </c>
      <c r="AC17" s="1">
        <f>VLOOKUP($A17,'BASE PAN - RECEITAS'!$A$3:$BS$22,71,FALSE)</f>
        <v>80648.298500000004</v>
      </c>
      <c r="AD17" s="1">
        <f>VLOOKUP($A17,'BASE PAN - RECEITAS'!$A$3:$BV$22,74,FALSE)</f>
        <v>80733.27</v>
      </c>
      <c r="AE17" s="1">
        <f>VLOOKUP($A17,'BASE PAN - RECEITAS'!$A$3:$BY$22,77,FALSE)</f>
        <v>80818.241500000004</v>
      </c>
      <c r="AF17" s="1">
        <f>VLOOKUP($A17,'BASE PAN - RECEITAS'!$A$3:$CD$22,80,FALSE)</f>
        <v>80903.213000000003</v>
      </c>
      <c r="AG17" s="1">
        <f>VLOOKUP($A17,'BASE PAN - RECEITAS'!$A$3:$CG$22,83,FALSE)</f>
        <v>80988.184500000003</v>
      </c>
      <c r="AH17" s="1">
        <f>VLOOKUP($A17,'BASE PAN - RECEITAS'!$A$3:$CJ$22,86,FALSE)</f>
        <v>81073.156000000003</v>
      </c>
      <c r="AI17" s="1">
        <f>VLOOKUP($A17,'BASE PAN - RECEITAS'!$A$3:$CM$22,89,FALSE)</f>
        <v>81174.609200000006</v>
      </c>
      <c r="AJ17" s="1">
        <f>VLOOKUP($A17,'BASE PAN - RECEITAS'!$A$3:$CN$22,92,FALSE)</f>
        <v>81222.974337301581</v>
      </c>
      <c r="AK17" s="1">
        <f>VLOOKUP($A17,'BASE PAN - RECEITAS'!$A$3:$CQ$22,95,FALSE)</f>
        <v>81307.412801360551</v>
      </c>
      <c r="AL17" s="1">
        <f t="shared" si="1"/>
        <v>2284856.7630886626</v>
      </c>
      <c r="AM17" s="1">
        <f t="shared" si="0"/>
        <v>1073882.0143500001</v>
      </c>
      <c r="AN17" s="3">
        <f>VLOOKUP($A17,'BASE PAN - CAPEX'!$A$3:$H$22,8,FALSE)</f>
        <v>0</v>
      </c>
    </row>
    <row r="18" spans="1:41" x14ac:dyDescent="0.25">
      <c r="A18" s="17" t="s">
        <v>154</v>
      </c>
      <c r="B18" s="30" t="s">
        <v>155</v>
      </c>
      <c r="C18" s="17">
        <v>260110</v>
      </c>
      <c r="D18" s="17" t="s">
        <v>156</v>
      </c>
      <c r="E18" s="17" t="s">
        <v>155</v>
      </c>
      <c r="F18" s="17" t="s">
        <v>31</v>
      </c>
      <c r="G18" s="17" t="s">
        <v>28</v>
      </c>
      <c r="H18" s="1">
        <f>VLOOKUP($A18,'BASE PAN - RECEITAS'!$A$3:$E$22,5,FALSE)/2</f>
        <v>39474.434099999999</v>
      </c>
      <c r="I18" s="1">
        <f>VLOOKUP($A18,'BASE PAN - RECEITAS'!$A$3:$I$22,9,FALSE)/2</f>
        <v>39559.405599999998</v>
      </c>
      <c r="J18" s="1">
        <f>VLOOKUP($A18,'BASE PAN - RECEITAS'!$A$3:$M$22,13,FALSE)/2</f>
        <v>39658.539049999999</v>
      </c>
      <c r="K18" s="1">
        <f>VLOOKUP($A18,'BASE PAN - RECEITAS'!$A$3:$Q$22,17,FALSE)</f>
        <v>79515.345000000001</v>
      </c>
      <c r="L18" s="1">
        <f>VLOOKUP($A18,'BASE PAN - RECEITAS'!$A$3:$T$22,20,FALSE)</f>
        <v>79685.288</v>
      </c>
      <c r="M18" s="1">
        <f>VLOOKUP($A18,'BASE PAN - RECEITAS'!$A$3:$W$22,23,FALSE)</f>
        <v>79883.554799999998</v>
      </c>
      <c r="N18" s="1">
        <f>VLOOKUP($A18,'BASE PAN - RECEITAS'!$A$3:$Z$22,26,FALSE)</f>
        <v>80081.8217</v>
      </c>
      <c r="O18" s="1">
        <f>VLOOKUP($A18,'BASE PAN - RECEITAS'!$A$3:$AC$22,29,FALSE)</f>
        <v>80280.088600000003</v>
      </c>
      <c r="P18" s="1">
        <f>VLOOKUP($A18,'BASE PAN - RECEITAS'!$A$3:$AF$22,32,FALSE)</f>
        <v>80478.3554</v>
      </c>
      <c r="Q18" s="1">
        <f>VLOOKUP($A18,'BASE PAN - RECEITAS'!$A$3:$AI$22,35,FALSE)</f>
        <v>80676.622300000003</v>
      </c>
      <c r="R18" s="1">
        <f>VLOOKUP($A18,'BASE PAN - RECEITAS'!$A$3:$AL$22,38,FALSE)</f>
        <v>80874.889200000005</v>
      </c>
      <c r="S18" s="1">
        <f>VLOOKUP($A18,'BASE PAN - RECEITAS'!$A$3:$AO$22,41,FALSE)</f>
        <v>81101.479900000006</v>
      </c>
      <c r="T18" s="1">
        <f>VLOOKUP($A18,'BASE PAN - RECEITAS'!$A$3:$AR$22,44,FALSE)</f>
        <v>81316.228400000007</v>
      </c>
      <c r="U18" s="1">
        <f>VLOOKUP($A18,'BASE PAN - RECEITAS'!$A$3:$AU$22,47,FALSE)</f>
        <v>81542.819099999993</v>
      </c>
      <c r="V18" s="1">
        <f>VLOOKUP($A18,'BASE PAN - RECEITAS'!$A$3:$AX$22,50,FALSE)</f>
        <v>81741.085999999996</v>
      </c>
      <c r="W18" s="1">
        <f>VLOOKUP($A18,'BASE PAN - RECEITAS'!$A$3:$BA$22,53,FALSE)</f>
        <v>81967.676699999996</v>
      </c>
      <c r="X18" s="1">
        <f>VLOOKUP($A18,'BASE PAN - RECEITAS'!$A$3:$BD$22,56,FALSE)</f>
        <v>82194.267399999997</v>
      </c>
      <c r="Y18" s="1">
        <f>VLOOKUP($A18,'BASE PAN - RECEITAS'!$A$3:$BG$22,59,FALSE)</f>
        <v>82420.858099999998</v>
      </c>
      <c r="Z18" s="1">
        <f>VLOOKUP($A18,'BASE PAN - RECEITAS'!$A$3:$BJ$22,62,FALSE)</f>
        <v>82647.448799999998</v>
      </c>
      <c r="AA18" s="1">
        <f>VLOOKUP($A18,'BASE PAN - RECEITAS'!$A$3:$BM$22,65,FALSE)</f>
        <v>82874.039499999999</v>
      </c>
      <c r="AB18" s="1">
        <f>VLOOKUP($A18,'BASE PAN - RECEITAS'!$A$3:$BP$22,68,FALSE)</f>
        <v>83100.6302</v>
      </c>
      <c r="AC18" s="1">
        <f>VLOOKUP($A18,'BASE PAN - RECEITAS'!$A$3:$BS$22,71,FALSE)</f>
        <v>83355.544699999999</v>
      </c>
      <c r="AD18" s="1">
        <f>VLOOKUP($A18,'BASE PAN - RECEITAS'!$A$3:$BV$22,74,FALSE)</f>
        <v>83582.135399999999</v>
      </c>
      <c r="AE18" s="1">
        <f>VLOOKUP($A18,'BASE PAN - RECEITAS'!$A$3:$BY$22,77,FALSE)</f>
        <v>83837.049899999998</v>
      </c>
      <c r="AF18" s="1">
        <f>VLOOKUP($A18,'BASE PAN - RECEITAS'!$A$3:$CD$22,80,FALSE)</f>
        <v>84063.640599999999</v>
      </c>
      <c r="AG18" s="1">
        <f>VLOOKUP($A18,'BASE PAN - RECEITAS'!$A$3:$CG$22,83,FALSE)</f>
        <v>84318.555200000003</v>
      </c>
      <c r="AH18" s="1">
        <f>VLOOKUP($A18,'BASE PAN - RECEITAS'!$A$3:$CJ$22,86,FALSE)</f>
        <v>84573.469700000001</v>
      </c>
      <c r="AI18" s="1">
        <f>VLOOKUP($A18,'BASE PAN - RECEITAS'!$A$3:$CM$22,89,FALSE)</f>
        <v>84828.3842</v>
      </c>
      <c r="AJ18" s="1">
        <f>VLOOKUP($A18,'BASE PAN - RECEITAS'!$A$3:$CN$22,92,FALSE)</f>
        <v>84883.557259523834</v>
      </c>
      <c r="AK18" s="1">
        <f>VLOOKUP($A18,'BASE PAN - RECEITAS'!$A$3:$CQ$22,95,FALSE)</f>
        <v>85114.245167233574</v>
      </c>
      <c r="AL18" s="1">
        <f t="shared" si="1"/>
        <v>2339631.4599767574</v>
      </c>
      <c r="AM18" s="28">
        <f t="shared" si="0"/>
        <v>1085869.9571499999</v>
      </c>
      <c r="AN18" s="3">
        <f>VLOOKUP($A18,'BASE PAN - CAPEX'!$A$3:$H$22,8,FALSE)</f>
        <v>0</v>
      </c>
    </row>
    <row r="19" spans="1:41" x14ac:dyDescent="0.25">
      <c r="A19" s="17" t="s">
        <v>157</v>
      </c>
      <c r="B19" s="30" t="s">
        <v>158</v>
      </c>
      <c r="C19" s="17">
        <v>260600</v>
      </c>
      <c r="D19" s="17" t="s">
        <v>159</v>
      </c>
      <c r="E19" s="17" t="s">
        <v>158</v>
      </c>
      <c r="F19" s="17" t="s">
        <v>31</v>
      </c>
      <c r="G19" s="17" t="s">
        <v>28</v>
      </c>
      <c r="H19" s="1">
        <f>VLOOKUP($A19,'BASE PAN - RECEITAS'!$A$3:$E$22,5,FALSE)/2</f>
        <v>39474.434099999999</v>
      </c>
      <c r="I19" s="1">
        <f>VLOOKUP($A19,'BASE PAN - RECEITAS'!$A$3:$I$22,9,FALSE)/2</f>
        <v>39545.243699999999</v>
      </c>
      <c r="J19" s="1">
        <f>VLOOKUP($A19,'BASE PAN - RECEITAS'!$A$3:$M$22,13,FALSE)/2</f>
        <v>39630.215199999999</v>
      </c>
      <c r="K19" s="1">
        <f>VLOOKUP($A19,'BASE PAN - RECEITAS'!$A$3:$Q$22,17,FALSE)</f>
        <v>79402.049599999998</v>
      </c>
      <c r="L19" s="1">
        <f>VLOOKUP($A19,'BASE PAN - RECEITAS'!$A$3:$T$22,20,FALSE)</f>
        <v>79571.992599999998</v>
      </c>
      <c r="M19" s="1">
        <f>VLOOKUP($A19,'BASE PAN - RECEITAS'!$A$3:$W$22,23,FALSE)</f>
        <v>79741.935700000002</v>
      </c>
      <c r="N19" s="1">
        <f>VLOOKUP($A19,'BASE PAN - RECEITAS'!$A$3:$Z$22,26,FALSE)</f>
        <v>79883.554799999998</v>
      </c>
      <c r="O19" s="1">
        <f>VLOOKUP($A19,'BASE PAN - RECEITAS'!$A$3:$AC$22,29,FALSE)</f>
        <v>80053.497900000002</v>
      </c>
      <c r="P19" s="1">
        <f>VLOOKUP($A19,'BASE PAN - RECEITAS'!$A$3:$AF$22,32,FALSE)</f>
        <v>80223.440900000001</v>
      </c>
      <c r="Q19" s="1">
        <f>VLOOKUP($A19,'BASE PAN - RECEITAS'!$A$3:$AI$22,35,FALSE)</f>
        <v>80393.383900000001</v>
      </c>
      <c r="R19" s="1">
        <f>VLOOKUP($A19,'BASE PAN - RECEITAS'!$A$3:$AL$22,38,FALSE)</f>
        <v>80563.3269</v>
      </c>
      <c r="S19" s="1">
        <f>VLOOKUP($A19,'BASE PAN - RECEITAS'!$A$3:$AO$22,41,FALSE)</f>
        <v>80733.27</v>
      </c>
      <c r="T19" s="1">
        <f>VLOOKUP($A19,'BASE PAN - RECEITAS'!$A$3:$AR$22,44,FALSE)</f>
        <v>80903.213000000003</v>
      </c>
      <c r="U19" s="1">
        <f>VLOOKUP($A19,'BASE PAN - RECEITAS'!$A$3:$AU$22,47,FALSE)</f>
        <v>81073.156000000003</v>
      </c>
      <c r="V19" s="1">
        <f>VLOOKUP($A19,'BASE PAN - RECEITAS'!$A$3:$AX$22,50,FALSE)</f>
        <v>81259.580700000006</v>
      </c>
      <c r="W19" s="1">
        <f>VLOOKUP($A19,'BASE PAN - RECEITAS'!$A$3:$BA$22,53,FALSE)</f>
        <v>81457.847599999994</v>
      </c>
      <c r="X19" s="1">
        <f>VLOOKUP($A19,'BASE PAN - RECEITAS'!$A$3:$BD$22,56,FALSE)</f>
        <v>81627.790599999993</v>
      </c>
      <c r="Y19" s="1">
        <f>VLOOKUP($A19,'BASE PAN - RECEITAS'!$A$3:$BG$22,59,FALSE)</f>
        <v>81826.057499999995</v>
      </c>
      <c r="Z19" s="1">
        <f>VLOOKUP($A19,'BASE PAN - RECEITAS'!$A$3:$BJ$22,62,FALSE)</f>
        <v>81996.000499999995</v>
      </c>
      <c r="AA19" s="1">
        <f>VLOOKUP($A19,'BASE PAN - RECEITAS'!$A$3:$BM$22,65,FALSE)</f>
        <v>82194.267399999997</v>
      </c>
      <c r="AB19" s="1">
        <f>VLOOKUP($A19,'BASE PAN - RECEITAS'!$A$3:$BP$22,68,FALSE)</f>
        <v>82364.210399999996</v>
      </c>
      <c r="AC19" s="1">
        <f>VLOOKUP($A19,'BASE PAN - RECEITAS'!$A$3:$BS$22,71,FALSE)</f>
        <v>82562.477199999994</v>
      </c>
      <c r="AD19" s="1">
        <f>VLOOKUP($A19,'BASE PAN - RECEITAS'!$A$3:$BV$22,74,FALSE)</f>
        <v>82760.744099999996</v>
      </c>
      <c r="AE19" s="1">
        <f>VLOOKUP($A19,'BASE PAN - RECEITAS'!$A$3:$BY$22,77,FALSE)</f>
        <v>82959.010999999999</v>
      </c>
      <c r="AF19" s="1">
        <f>VLOOKUP($A19,'BASE PAN - RECEITAS'!$A$3:$CD$22,80,FALSE)</f>
        <v>83157.277799999996</v>
      </c>
      <c r="AG19" s="1">
        <f>VLOOKUP($A19,'BASE PAN - RECEITAS'!$A$3:$CG$22,83,FALSE)</f>
        <v>83355.544699999999</v>
      </c>
      <c r="AH19" s="1">
        <f>VLOOKUP($A19,'BASE PAN - RECEITAS'!$A$3:$CJ$22,86,FALSE)</f>
        <v>83553.811600000001</v>
      </c>
      <c r="AI19" s="1">
        <f>VLOOKUP($A19,'BASE PAN - RECEITAS'!$A$3:$CM$22,89,FALSE)</f>
        <v>83752.078399999999</v>
      </c>
      <c r="AJ19" s="1">
        <f>VLOOKUP($A19,'BASE PAN - RECEITAS'!$A$3:$CN$22,92,FALSE)</f>
        <v>83823.420000793703</v>
      </c>
      <c r="AK19" s="1">
        <f>VLOOKUP($A19,'BASE PAN - RECEITAS'!$A$3:$CQ$22,95,FALSE)</f>
        <v>84011.046470748261</v>
      </c>
      <c r="AL19" s="1">
        <f t="shared" si="1"/>
        <v>2323853.8802715424</v>
      </c>
      <c r="AM19" s="28">
        <f t="shared" si="0"/>
        <v>1082452.2949999999</v>
      </c>
      <c r="AN19" s="3">
        <f>VLOOKUP($A19,'BASE PAN - CAPEX'!$A$3:$H$22,8,FALSE)</f>
        <v>0</v>
      </c>
    </row>
    <row r="20" spans="1:41" s="17" customFormat="1" x14ac:dyDescent="0.25">
      <c r="A20" s="17" t="s">
        <v>317</v>
      </c>
      <c r="B20" s="30" t="str">
        <f>VLOOKUP(A20,'CAPEX - Navegação Aérea'!$A$3:$B$22,2,FALSE)</f>
        <v>COMANDANTE ARISTON PESSOA</v>
      </c>
      <c r="C20" s="17">
        <f>VLOOKUP(A20,'[10]FLUXO DE CAIXA DESC.-BLOCOS PAN'!$A$3:$C$251,3,FALSE)</f>
        <v>230110</v>
      </c>
      <c r="D20" s="17" t="str">
        <f>VLOOKUP(A20,'[10]FLUXO DE CAIXA DESC.-BLOCOS PAN'!$A$3:$D$251,4,FALSE)</f>
        <v>SNAT230110</v>
      </c>
      <c r="E20" s="17" t="s">
        <v>318</v>
      </c>
      <c r="F20" s="17" t="s">
        <v>323</v>
      </c>
      <c r="G20" s="17" t="s">
        <v>28</v>
      </c>
      <c r="H20" s="1">
        <f>VLOOKUP($A20,'BASE PAN - RECEITAS'!$A$3:$E$22,5,FALSE)/2</f>
        <v>395464.24845000001</v>
      </c>
      <c r="I20" s="1">
        <f>VLOOKUP($A20,'BASE PAN - RECEITAS'!$A$3:$I$22,9,FALSE)/2</f>
        <v>418485.12900000002</v>
      </c>
      <c r="J20" s="1">
        <f>VLOOKUP($A20,'BASE PAN - RECEITAS'!$A$3:$M$22,13,FALSE)/2</f>
        <v>437901.09834999999</v>
      </c>
      <c r="K20" s="28">
        <f>VLOOKUP($A20,'BASE PAN - RECEITAS'!$A$3:$Q$22,17,FALSE)</f>
        <v>911798.01520000002</v>
      </c>
      <c r="L20" s="28">
        <f>VLOOKUP($A20,'BASE PAN - RECEITAS'!$A$3:$T$22,20,FALSE)</f>
        <v>945240.03830000001</v>
      </c>
      <c r="M20" s="28">
        <f>VLOOKUP($A20,'BASE PAN - RECEITAS'!$A$3:$W$22,23,FALSE)</f>
        <v>977300.10919999995</v>
      </c>
      <c r="N20" s="28">
        <f>VLOOKUP($A20,'BASE PAN - RECEITAS'!$A$3:$Z$22,26,FALSE)</f>
        <v>1007326.6091</v>
      </c>
      <c r="O20" s="28">
        <f>VLOOKUP($A20,'BASE PAN - RECEITAS'!$A$3:$AC$22,29,FALSE)</f>
        <v>1034930.1359</v>
      </c>
      <c r="P20" s="28">
        <f>VLOOKUP($A20,'BASE PAN - RECEITAS'!$A$3:$AF$22,32,FALSE)</f>
        <v>1060489.5471999999</v>
      </c>
      <c r="Q20" s="28">
        <f>VLOOKUP($A20,'BASE PAN - RECEITAS'!$A$3:$AI$22,35,FALSE)</f>
        <v>1085876.9401</v>
      </c>
      <c r="R20" s="28">
        <f>VLOOKUP($A20,'BASE PAN - RECEITAS'!$A$3:$AL$22,38,FALSE)</f>
        <v>1111116.5907000001</v>
      </c>
      <c r="S20" s="28">
        <f>VLOOKUP($A20,'BASE PAN - RECEITAS'!$A$3:$AO$22,41,FALSE)</f>
        <v>1136794.1958000001</v>
      </c>
      <c r="T20" s="28">
        <f>VLOOKUP($A20,'BASE PAN - RECEITAS'!$A$3:$AR$22,44,FALSE)</f>
        <v>1162092.9432999999</v>
      </c>
      <c r="U20" s="28">
        <f>VLOOKUP($A20,'BASE PAN - RECEITAS'!$A$3:$AU$22,47,FALSE)</f>
        <v>1187534.1609</v>
      </c>
      <c r="V20" s="28">
        <f>VLOOKUP($A20,'BASE PAN - RECEITAS'!$A$3:$AX$22,50,FALSE)</f>
        <v>1213069.2960000001</v>
      </c>
      <c r="W20" s="28">
        <f>VLOOKUP($A20,'BASE PAN - RECEITAS'!$A$3:$BA$22,53,FALSE)</f>
        <v>1239254.4971</v>
      </c>
      <c r="X20" s="28">
        <f>VLOOKUP($A20,'BASE PAN - RECEITAS'!$A$3:$BD$22,56,FALSE)</f>
        <v>1265916.6810000001</v>
      </c>
      <c r="Y20" s="28">
        <f>VLOOKUP($A20,'BASE PAN - RECEITAS'!$A$3:$BG$22,59,FALSE)</f>
        <v>1292811.0449000001</v>
      </c>
      <c r="Z20" s="28">
        <f>VLOOKUP($A20,'BASE PAN - RECEITAS'!$A$3:$BJ$22,62,FALSE)</f>
        <v>1318937.1491</v>
      </c>
      <c r="AA20" s="28">
        <f>VLOOKUP($A20,'BASE PAN - RECEITAS'!$A$3:$BM$22,65,FALSE)</f>
        <v>1345294.3687</v>
      </c>
      <c r="AB20" s="28">
        <f>VLOOKUP($A20,'BASE PAN - RECEITAS'!$A$3:$BP$22,68,FALSE)</f>
        <v>1371568.2150999999</v>
      </c>
      <c r="AC20" s="28">
        <f>VLOOKUP($A20,'BASE PAN - RECEITAS'!$A$3:$BS$22,71,FALSE)</f>
        <v>1397748.1439</v>
      </c>
      <c r="AD20" s="28">
        <f>VLOOKUP($A20,'BASE PAN - RECEITAS'!$A$3:$BV$22,74,FALSE)</f>
        <v>1423696.9574</v>
      </c>
      <c r="AE20" s="28">
        <f>VLOOKUP($A20,'BASE PAN - RECEITAS'!$A$3:$BY$22,77,FALSE)</f>
        <v>1449763.9646000001</v>
      </c>
      <c r="AF20" s="28">
        <f>VLOOKUP($A20,'BASE PAN - RECEITAS'!$A$3:$CD$22,80,FALSE)</f>
        <v>1474850.6007999999</v>
      </c>
      <c r="AG20" s="28">
        <f>VLOOKUP($A20,'BASE PAN - RECEITAS'!$A$3:$CG$22,83,FALSE)</f>
        <v>1500090.2514</v>
      </c>
      <c r="AH20" s="28">
        <f>VLOOKUP($A20,'BASE PAN - RECEITAS'!$A$3:$CJ$22,86,FALSE)</f>
        <v>1525743.5803</v>
      </c>
      <c r="AI20" s="28">
        <f>VLOOKUP($A20,'BASE PAN - RECEITAS'!$A$3:$CM$22,89,FALSE)</f>
        <v>1551775.7668999999</v>
      </c>
      <c r="AJ20" s="28">
        <f>VLOOKUP($A20,'BASE PAN - RECEITAS'!$A$3:$CN$22,92,FALSE)</f>
        <v>1588133.4646182507</v>
      </c>
      <c r="AK20" s="28">
        <f>VLOOKUP($A20,'BASE PAN - RECEITAS'!$A$3:$CQ$22,95,FALSE)</f>
        <v>1611950.6596787944</v>
      </c>
      <c r="AL20" s="28">
        <f t="shared" si="1"/>
        <v>35442954.402997054</v>
      </c>
      <c r="AM20" s="28">
        <f t="shared" si="0"/>
        <v>14085419.057500001</v>
      </c>
      <c r="AN20" s="29">
        <f>VLOOKUP($A20,'BASE PAN - CAPEX'!$A$3:$H$22,8,FALSE)</f>
        <v>3</v>
      </c>
      <c r="AO20" s="29"/>
    </row>
    <row r="21" spans="1:41" s="17" customFormat="1" x14ac:dyDescent="0.25">
      <c r="A21" s="17" t="s">
        <v>321</v>
      </c>
      <c r="B21" s="30" t="str">
        <f>VLOOKUP(A21,'CAPEX - Navegação Aérea'!$A$3:$B$22,2,FALSE)</f>
        <v>AEROPORTO REGIONAL DE CANOA QUEBRADA DRAGÃO DO MAR</v>
      </c>
      <c r="C21" s="17">
        <f>VLOOKUP(A21,'[10]FLUXO DE CAIXA DESC.-BLOCOS PAN'!$A$3:$C$251,3,FALSE)</f>
        <v>230425</v>
      </c>
      <c r="D21" s="17" t="str">
        <f>VLOOKUP(A21,'[10]FLUXO DE CAIXA DESC.-BLOCOS PAN'!$A$3:$D$251,4,FALSE)</f>
        <v>SBJE230425</v>
      </c>
      <c r="E21" s="17" t="s">
        <v>322</v>
      </c>
      <c r="F21" s="17" t="s">
        <v>323</v>
      </c>
      <c r="G21" s="17" t="s">
        <v>28</v>
      </c>
      <c r="H21" s="1">
        <f>VLOOKUP($A21,'BASE PAN - RECEITAS'!$A$3:$E$22,5,FALSE)/2</f>
        <v>3745728.7688000002</v>
      </c>
      <c r="I21" s="1">
        <f>VLOOKUP($A21,'BASE PAN - RECEITAS'!$A$3:$I$22,9,FALSE)/2</f>
        <v>3965987.4674499999</v>
      </c>
      <c r="J21" s="1">
        <f>VLOOKUP($A21,'BASE PAN - RECEITAS'!$A$3:$M$22,13,FALSE)/2</f>
        <v>4146092.9070000001</v>
      </c>
      <c r="K21" s="28">
        <f>VLOOKUP($A21,'BASE PAN - RECEITAS'!$A$3:$Q$22,17,FALSE)</f>
        <v>8614241.5672999993</v>
      </c>
      <c r="L21" s="28">
        <f>VLOOKUP($A21,'BASE PAN - RECEITAS'!$A$3:$T$22,20,FALSE)</f>
        <v>8908367.6092000008</v>
      </c>
      <c r="M21" s="28">
        <f>VLOOKUP($A21,'BASE PAN - RECEITAS'!$A$3:$W$22,23,FALSE)</f>
        <v>9185439.2489999998</v>
      </c>
      <c r="N21" s="28">
        <f>VLOOKUP($A21,'BASE PAN - RECEITAS'!$A$3:$Z$22,26,FALSE)</f>
        <v>9436366.2393999994</v>
      </c>
      <c r="O21" s="28">
        <f>VLOOKUP($A21,'BASE PAN - RECEITAS'!$A$3:$AC$22,29,FALSE)</f>
        <v>9660353.7134000007</v>
      </c>
      <c r="P21" s="28">
        <f>VLOOKUP($A21,'BASE PAN - RECEITAS'!$A$3:$AF$22,32,FALSE)</f>
        <v>9861542.4493000004</v>
      </c>
      <c r="Q21" s="28">
        <f>VLOOKUP($A21,'BASE PAN - RECEITAS'!$A$3:$AI$22,35,FALSE)</f>
        <v>10059670.2432</v>
      </c>
      <c r="R21" s="28">
        <f>VLOOKUP($A21,'BASE PAN - RECEITAS'!$A$3:$AL$22,38,FALSE)</f>
        <v>10252337.817500001</v>
      </c>
      <c r="S21" s="28">
        <f>VLOOKUP($A21,'BASE PAN - RECEITAS'!$A$3:$AO$22,41,FALSE)</f>
        <v>10448915.134400001</v>
      </c>
      <c r="T21" s="28">
        <f>VLOOKUP($A21,'BASE PAN - RECEITAS'!$A$3:$AR$22,44,FALSE)</f>
        <v>10637511.532099999</v>
      </c>
      <c r="U21" s="28">
        <f>VLOOKUP($A21,'BASE PAN - RECEITAS'!$A$3:$AU$22,47,FALSE)</f>
        <v>10828579.8837</v>
      </c>
      <c r="V21" s="28">
        <f>VLOOKUP($A21,'BASE PAN - RECEITAS'!$A$3:$AX$22,50,FALSE)</f>
        <v>11015091.659499999</v>
      </c>
      <c r="W21" s="28">
        <f>VLOOKUP($A21,'BASE PAN - RECEITAS'!$A$3:$BA$22,53,FALSE)</f>
        <v>11206170.060799999</v>
      </c>
      <c r="X21" s="28">
        <f>VLOOKUP($A21,'BASE PAN - RECEITAS'!$A$3:$BD$22,56,FALSE)</f>
        <v>11397498.1018</v>
      </c>
      <c r="Y21" s="28">
        <f>VLOOKUP($A21,'BASE PAN - RECEITAS'!$A$3:$BG$22,59,FALSE)</f>
        <v>11588995.397</v>
      </c>
      <c r="Z21" s="28">
        <f>VLOOKUP($A21,'BASE PAN - RECEITAS'!$A$3:$BJ$22,62,FALSE)</f>
        <v>11770082.6845</v>
      </c>
      <c r="AA21" s="28">
        <f>VLOOKUP($A21,'BASE PAN - RECEITAS'!$A$3:$BM$22,65,FALSE)</f>
        <v>11952165.3051</v>
      </c>
      <c r="AB21" s="28">
        <f>VLOOKUP($A21,'BASE PAN - RECEITAS'!$A$3:$BP$22,68,FALSE)</f>
        <v>12127143.793400001</v>
      </c>
      <c r="AC21" s="28">
        <f>VLOOKUP($A21,'BASE PAN - RECEITAS'!$A$3:$BS$22,71,FALSE)</f>
        <v>12292115.6953</v>
      </c>
      <c r="AD21" s="28">
        <f>VLOOKUP($A21,'BASE PAN - RECEITAS'!$A$3:$BV$22,74,FALSE)</f>
        <v>12448416.6237</v>
      </c>
      <c r="AE21" s="28">
        <f>VLOOKUP($A21,'BASE PAN - RECEITAS'!$A$3:$BY$22,77,FALSE)</f>
        <v>12602821.8069</v>
      </c>
      <c r="AF21" s="28">
        <f>VLOOKUP($A21,'BASE PAN - RECEITAS'!$A$3:$CD$22,80,FALSE)</f>
        <v>12743708.1609</v>
      </c>
      <c r="AG21" s="28">
        <f>VLOOKUP($A21,'BASE PAN - RECEITAS'!$A$3:$CG$22,83,FALSE)</f>
        <v>12881752.960100001</v>
      </c>
      <c r="AH21" s="28">
        <f>VLOOKUP($A21,'BASE PAN - RECEITAS'!$A$3:$CJ$22,86,FALSE)</f>
        <v>13022463.044199999</v>
      </c>
      <c r="AI21" s="28">
        <f>VLOOKUP($A21,'BASE PAN - RECEITAS'!$A$3:$CM$22,89,FALSE)</f>
        <v>13164148.729599999</v>
      </c>
      <c r="AJ21" s="28">
        <f>VLOOKUP($A21,'BASE PAN - RECEITAS'!$A$3:$CN$22,92,FALSE)</f>
        <v>13666863.865548432</v>
      </c>
      <c r="AK21" s="28">
        <f>VLOOKUP($A21,'BASE PAN - RECEITAS'!$A$3:$CQ$22,95,FALSE)</f>
        <v>13818424.240215659</v>
      </c>
      <c r="AL21" s="28">
        <f t="shared" si="1"/>
        <v>317448996.71031404</v>
      </c>
      <c r="AM21" s="28">
        <f t="shared" si="0"/>
        <v>130766226.24124999</v>
      </c>
      <c r="AN21" s="29">
        <f>VLOOKUP($A21,'BASE PAN - CAPEX'!$A$3:$H$22,8,FALSE)</f>
        <v>4</v>
      </c>
      <c r="AO21" s="29"/>
    </row>
    <row r="22" spans="1:41" x14ac:dyDescent="0.25">
      <c r="H22" s="27">
        <f>SUBTOTAL(109,H3:H21)</f>
        <v>12340140.76575</v>
      </c>
      <c r="I22" s="27">
        <f t="shared" ref="I22:AM22" si="2">SUBTOTAL(109,I3:I21)</f>
        <v>13153093.257300001</v>
      </c>
      <c r="J22" s="27">
        <f t="shared" si="2"/>
        <v>13803390.874499997</v>
      </c>
      <c r="K22" s="27">
        <f t="shared" si="2"/>
        <v>28773037.660300002</v>
      </c>
      <c r="L22" s="27">
        <f t="shared" si="2"/>
        <v>29849272.309900001</v>
      </c>
      <c r="M22" s="27">
        <f t="shared" si="2"/>
        <v>30873268.469599999</v>
      </c>
      <c r="N22" s="27">
        <f t="shared" si="2"/>
        <v>31850415.390999999</v>
      </c>
      <c r="O22" s="27">
        <f t="shared" si="2"/>
        <v>32763837.633999996</v>
      </c>
      <c r="P22" s="27">
        <f t="shared" si="2"/>
        <v>33572919.348099999</v>
      </c>
      <c r="Q22" s="27">
        <f t="shared" si="2"/>
        <v>34421109.704800002</v>
      </c>
      <c r="R22" s="27">
        <f t="shared" si="2"/>
        <v>35216348.142300002</v>
      </c>
      <c r="S22" s="27">
        <f t="shared" si="2"/>
        <v>36082879.193699993</v>
      </c>
      <c r="T22" s="27">
        <f t="shared" si="2"/>
        <v>36882524.639200002</v>
      </c>
      <c r="U22" s="27">
        <f t="shared" si="2"/>
        <v>37708778.502299994</v>
      </c>
      <c r="V22" s="27">
        <f t="shared" si="2"/>
        <v>38548004.198599994</v>
      </c>
      <c r="W22" s="27">
        <f t="shared" si="2"/>
        <v>39393881.551100001</v>
      </c>
      <c r="X22" s="27">
        <f t="shared" si="2"/>
        <v>40255548.891400009</v>
      </c>
      <c r="Y22" s="27">
        <f t="shared" si="2"/>
        <v>41121180.847499996</v>
      </c>
      <c r="Z22" s="27">
        <f t="shared" si="2"/>
        <v>41976524.462100007</v>
      </c>
      <c r="AA22" s="27">
        <f t="shared" si="2"/>
        <v>42825390.619300008</v>
      </c>
      <c r="AB22" s="27">
        <f t="shared" si="2"/>
        <v>43688994.573200002</v>
      </c>
      <c r="AC22" s="27">
        <f t="shared" si="2"/>
        <v>44488558.931900002</v>
      </c>
      <c r="AD22" s="27">
        <f t="shared" si="2"/>
        <v>45298875.847100005</v>
      </c>
      <c r="AE22" s="27">
        <f t="shared" si="2"/>
        <v>46092580.355599999</v>
      </c>
      <c r="AF22" s="27">
        <f t="shared" si="2"/>
        <v>46871252.711800009</v>
      </c>
      <c r="AG22" s="27">
        <f t="shared" si="2"/>
        <v>47637057.305500008</v>
      </c>
      <c r="AH22" s="27">
        <f t="shared" si="2"/>
        <v>48416539.534800008</v>
      </c>
      <c r="AI22" s="27">
        <f t="shared" si="2"/>
        <v>49209971.207000002</v>
      </c>
      <c r="AJ22" s="27">
        <f t="shared" ref="AJ22:AK22" si="3">SUBTOTAL(109,AJ3:AJ21)</f>
        <v>50568774.124341272</v>
      </c>
      <c r="AK22" s="27">
        <f t="shared" si="3"/>
        <v>51319795.931690075</v>
      </c>
      <c r="AL22" s="27">
        <f t="shared" si="2"/>
        <v>1125003946.9856813</v>
      </c>
      <c r="AM22" s="27">
        <f t="shared" si="2"/>
        <v>445839020.09134996</v>
      </c>
    </row>
    <row r="23" spans="1:41" x14ac:dyDescent="0.25">
      <c r="H23" s="27">
        <f>H22</f>
        <v>12340140.76575</v>
      </c>
      <c r="I23" s="27">
        <f>H23+I22</f>
        <v>25493234.023050003</v>
      </c>
      <c r="J23" s="27">
        <f t="shared" ref="J23:AI23" si="4">I23+J22</f>
        <v>39296624.897550002</v>
      </c>
      <c r="K23" s="27">
        <f t="shared" si="4"/>
        <v>68069662.557850003</v>
      </c>
      <c r="L23" s="27">
        <f t="shared" si="4"/>
        <v>97918934.867750004</v>
      </c>
      <c r="M23" s="27">
        <f t="shared" si="4"/>
        <v>128792203.33735001</v>
      </c>
      <c r="N23" s="27">
        <f t="shared" si="4"/>
        <v>160642618.72835001</v>
      </c>
      <c r="O23" s="27">
        <f t="shared" si="4"/>
        <v>193406456.36235002</v>
      </c>
      <c r="P23" s="27">
        <f t="shared" si="4"/>
        <v>226979375.71045002</v>
      </c>
      <c r="Q23" s="27">
        <f t="shared" si="4"/>
        <v>261400485.41525003</v>
      </c>
      <c r="R23" s="27">
        <f t="shared" si="4"/>
        <v>296616833.55755001</v>
      </c>
      <c r="S23" s="27">
        <f t="shared" si="4"/>
        <v>332699712.75125003</v>
      </c>
      <c r="T23" s="27">
        <f t="shared" si="4"/>
        <v>369582237.39045</v>
      </c>
      <c r="U23" s="27">
        <f t="shared" si="4"/>
        <v>407291015.89275002</v>
      </c>
      <c r="V23" s="27">
        <f t="shared" si="4"/>
        <v>445839020.09135002</v>
      </c>
      <c r="W23" s="27">
        <f t="shared" si="4"/>
        <v>485232901.64245003</v>
      </c>
      <c r="X23" s="27">
        <f t="shared" si="4"/>
        <v>525488450.53385007</v>
      </c>
      <c r="Y23" s="27">
        <f t="shared" si="4"/>
        <v>566609631.38135004</v>
      </c>
      <c r="Z23" s="27">
        <f t="shared" si="4"/>
        <v>608586155.84345007</v>
      </c>
      <c r="AA23" s="27">
        <f t="shared" si="4"/>
        <v>651411546.46275008</v>
      </c>
      <c r="AB23" s="27">
        <f t="shared" si="4"/>
        <v>695100541.03595006</v>
      </c>
      <c r="AC23" s="27">
        <f t="shared" si="4"/>
        <v>739589099.96785009</v>
      </c>
      <c r="AD23" s="27">
        <f t="shared" si="4"/>
        <v>784887975.81495011</v>
      </c>
      <c r="AE23" s="27">
        <f t="shared" si="4"/>
        <v>830980556.17055011</v>
      </c>
      <c r="AF23" s="27">
        <f t="shared" si="4"/>
        <v>877851808.88235009</v>
      </c>
      <c r="AG23" s="27">
        <f t="shared" si="4"/>
        <v>925488866.18785012</v>
      </c>
      <c r="AH23" s="27">
        <f t="shared" si="4"/>
        <v>973905405.72265017</v>
      </c>
      <c r="AI23" s="27">
        <f t="shared" si="4"/>
        <v>1023115376.9296502</v>
      </c>
      <c r="AJ23" s="27">
        <f t="shared" ref="AJ23" si="5">AI23+AJ22</f>
        <v>1073684151.0539914</v>
      </c>
      <c r="AK23" s="27">
        <f t="shared" ref="AK23" si="6">AJ23+AK22</f>
        <v>1125003946.9856815</v>
      </c>
    </row>
    <row r="28" spans="1:41" x14ac:dyDescent="0.25">
      <c r="A28" s="23" t="s">
        <v>146</v>
      </c>
    </row>
  </sheetData>
  <autoFilter ref="A2:AM23" xr:uid="{349CBB29-228C-4F2C-98D3-4C909DC92161}"/>
  <hyperlinks>
    <hyperlink ref="A28" location="Introdução!A1" display="Introdução!A1" xr:uid="{C2405780-4420-478C-9E75-862C9E68EFCE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C3D8-99AC-4F2C-BF5B-FF919578B17C}">
  <sheetPr codeName="Planilha18">
    <tabColor rgb="FFFF0000"/>
  </sheetPr>
  <dimension ref="A2:W162"/>
  <sheetViews>
    <sheetView showGridLines="0" topLeftCell="A2" workbookViewId="0">
      <selection activeCell="A2" sqref="A2:W159"/>
    </sheetView>
  </sheetViews>
  <sheetFormatPr defaultColWidth="10.42578125" defaultRowHeight="15" customHeight="1" x14ac:dyDescent="0.25"/>
  <sheetData>
    <row r="2" spans="1:23" ht="15" customHeight="1" x14ac:dyDescent="0.25">
      <c r="A2" s="78" t="s">
        <v>1267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</row>
    <row r="3" spans="1:23" ht="15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</row>
    <row r="4" spans="1:23" ht="15" customHeigh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</row>
    <row r="5" spans="1:23" ht="15" customHeight="1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3" ht="15" customHeight="1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</row>
    <row r="7" spans="1:23" ht="15" customHeight="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</row>
    <row r="8" spans="1:23" ht="15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</row>
    <row r="9" spans="1:23" ht="15" customHeight="1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spans="1:23" ht="15" customHeigh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spans="1:23" ht="15" customHeight="1" x14ac:dyDescent="0.25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spans="1:23" ht="15" customHeight="1" x14ac:dyDescent="0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spans="1:23" ht="15" customHeight="1" x14ac:dyDescent="0.25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spans="1:23" ht="15" customHeight="1" x14ac:dyDescent="0.25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spans="1:23" ht="15" customHeight="1" x14ac:dyDescent="0.2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spans="1:23" ht="15" customHeight="1" x14ac:dyDescent="0.2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spans="1:23" ht="15" customHeight="1" x14ac:dyDescent="0.25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</row>
    <row r="18" spans="1:23" ht="15" customHeight="1" x14ac:dyDescent="0.25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spans="1:23" ht="15" customHeight="1" x14ac:dyDescent="0.25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</row>
    <row r="20" spans="1:23" ht="15" customHeight="1" x14ac:dyDescent="0.2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</row>
    <row r="21" spans="1:23" ht="15" customHeight="1" x14ac:dyDescent="0.25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</row>
    <row r="22" spans="1:23" ht="15" customHeight="1" x14ac:dyDescent="0.2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</row>
    <row r="23" spans="1:23" ht="15" customHeight="1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</row>
    <row r="24" spans="1:23" ht="15" customHeight="1" x14ac:dyDescent="0.2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</row>
    <row r="25" spans="1:23" ht="15" customHeight="1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</row>
    <row r="26" spans="1:23" ht="15" customHeight="1" x14ac:dyDescent="0.2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</row>
    <row r="27" spans="1:23" ht="15" customHeight="1" x14ac:dyDescent="0.2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</row>
    <row r="28" spans="1:23" ht="15" customHeight="1" x14ac:dyDescent="0.2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</row>
    <row r="29" spans="1:23" ht="15" customHeight="1" x14ac:dyDescent="0.2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</row>
    <row r="30" spans="1:23" ht="15" customHeight="1" x14ac:dyDescent="0.2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</row>
    <row r="31" spans="1:23" ht="15" customHeight="1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</row>
    <row r="32" spans="1:23" ht="15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</row>
    <row r="33" spans="1:23" ht="15" customHeight="1" x14ac:dyDescent="0.2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</row>
    <row r="34" spans="1:23" ht="15" customHeight="1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</row>
    <row r="35" spans="1:23" ht="15" customHeight="1" x14ac:dyDescent="0.2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</row>
    <row r="36" spans="1:23" ht="15" customHeight="1" x14ac:dyDescent="0.2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</row>
    <row r="37" spans="1:23" ht="15" customHeight="1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</row>
    <row r="38" spans="1:23" ht="15" customHeight="1" x14ac:dyDescent="0.25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</row>
    <row r="39" spans="1:23" ht="15" customHeight="1" x14ac:dyDescent="0.2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</row>
    <row r="40" spans="1:23" ht="15" customHeight="1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</row>
    <row r="41" spans="1:23" ht="15" customHeight="1" x14ac:dyDescent="0.2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</row>
    <row r="42" spans="1:23" ht="15" customHeight="1" x14ac:dyDescent="0.2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</row>
    <row r="43" spans="1:23" ht="15" customHeight="1" x14ac:dyDescent="0.25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</row>
    <row r="44" spans="1:23" ht="15" customHeight="1" x14ac:dyDescent="0.25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</row>
    <row r="45" spans="1:23" ht="15" customHeight="1" x14ac:dyDescent="0.2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</row>
    <row r="46" spans="1:23" ht="15" customHeight="1" x14ac:dyDescent="0.25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</row>
    <row r="47" spans="1:23" ht="15" customHeight="1" x14ac:dyDescent="0.25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</row>
    <row r="48" spans="1:23" ht="15" customHeight="1" x14ac:dyDescent="0.25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</row>
    <row r="49" spans="1:23" ht="15" customHeight="1" x14ac:dyDescent="0.2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</row>
    <row r="50" spans="1:23" ht="15" customHeight="1" x14ac:dyDescent="0.25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</row>
    <row r="51" spans="1:23" ht="15" customHeight="1" x14ac:dyDescent="0.2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</row>
    <row r="52" spans="1:23" ht="15" customHeight="1" x14ac:dyDescent="0.25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</row>
    <row r="53" spans="1:23" ht="15" customHeight="1" x14ac:dyDescent="0.25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</row>
    <row r="54" spans="1:23" ht="15" customHeight="1" x14ac:dyDescent="0.25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</row>
    <row r="55" spans="1:23" ht="15" customHeight="1" x14ac:dyDescent="0.25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</row>
    <row r="56" spans="1:23" ht="15" customHeight="1" x14ac:dyDescent="0.25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</row>
    <row r="57" spans="1:23" ht="15" customHeight="1" x14ac:dyDescent="0.2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</row>
    <row r="58" spans="1:23" ht="15" customHeight="1" x14ac:dyDescent="0.25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</row>
    <row r="59" spans="1:23" ht="15" customHeight="1" x14ac:dyDescent="0.25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</row>
    <row r="60" spans="1:23" ht="15" customHeight="1" x14ac:dyDescent="0.25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</row>
    <row r="61" spans="1:23" ht="15" customHeight="1" x14ac:dyDescent="0.25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</row>
    <row r="62" spans="1:23" ht="15" customHeight="1" x14ac:dyDescent="0.25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</row>
    <row r="63" spans="1:23" ht="15" customHeight="1" x14ac:dyDescent="0.25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</row>
    <row r="64" spans="1:23" ht="15" customHeight="1" x14ac:dyDescent="0.25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</row>
    <row r="65" spans="1:23" ht="15" customHeight="1" x14ac:dyDescent="0.2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</row>
    <row r="66" spans="1:23" ht="15" customHeight="1" x14ac:dyDescent="0.25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</row>
    <row r="67" spans="1:23" ht="15" customHeight="1" x14ac:dyDescent="0.25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</row>
    <row r="68" spans="1:23" ht="15" customHeight="1" x14ac:dyDescent="0.25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</row>
    <row r="69" spans="1:23" ht="15" customHeight="1" x14ac:dyDescent="0.25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</row>
    <row r="70" spans="1:23" ht="15" customHeight="1" x14ac:dyDescent="0.25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</row>
    <row r="71" spans="1:23" ht="15" customHeight="1" x14ac:dyDescent="0.25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</row>
    <row r="72" spans="1:23" ht="15" customHeight="1" x14ac:dyDescent="0.25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</row>
    <row r="73" spans="1:23" ht="15" customHeight="1" x14ac:dyDescent="0.25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</row>
    <row r="74" spans="1:23" ht="15" customHeight="1" x14ac:dyDescent="0.25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</row>
    <row r="75" spans="1:23" ht="15" customHeight="1" x14ac:dyDescent="0.25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</row>
    <row r="76" spans="1:23" ht="15" customHeight="1" x14ac:dyDescent="0.25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</row>
    <row r="77" spans="1:23" ht="15" customHeight="1" x14ac:dyDescent="0.25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</row>
    <row r="78" spans="1:23" ht="15" customHeight="1" x14ac:dyDescent="0.25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</row>
    <row r="79" spans="1:23" ht="15" customHeight="1" x14ac:dyDescent="0.25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</row>
    <row r="80" spans="1:23" ht="15" customHeight="1" x14ac:dyDescent="0.25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</row>
    <row r="81" spans="1:23" ht="15" customHeight="1" x14ac:dyDescent="0.25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</row>
    <row r="82" spans="1:23" ht="15" customHeight="1" x14ac:dyDescent="0.25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</row>
    <row r="83" spans="1:23" ht="15" customHeight="1" x14ac:dyDescent="0.25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</row>
    <row r="84" spans="1:23" ht="15" customHeight="1" x14ac:dyDescent="0.25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</row>
    <row r="85" spans="1:23" ht="15" customHeight="1" x14ac:dyDescent="0.25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</row>
    <row r="86" spans="1:23" ht="15" customHeight="1" x14ac:dyDescent="0.25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</row>
    <row r="87" spans="1:23" ht="15" customHeight="1" x14ac:dyDescent="0.25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</row>
    <row r="88" spans="1:23" ht="15" customHeight="1" x14ac:dyDescent="0.25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</row>
    <row r="89" spans="1:23" ht="15" customHeight="1" x14ac:dyDescent="0.25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</row>
    <row r="90" spans="1:23" ht="15" customHeight="1" x14ac:dyDescent="0.25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</row>
    <row r="91" spans="1:23" ht="15" customHeight="1" x14ac:dyDescent="0.25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</row>
    <row r="92" spans="1:23" ht="15" customHeight="1" x14ac:dyDescent="0.25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</row>
    <row r="93" spans="1:23" ht="15" customHeight="1" x14ac:dyDescent="0.25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</row>
    <row r="94" spans="1:23" ht="15" customHeight="1" x14ac:dyDescent="0.25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</row>
    <row r="95" spans="1:23" ht="15" customHeight="1" x14ac:dyDescent="0.25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</row>
    <row r="96" spans="1:23" ht="15" customHeight="1" x14ac:dyDescent="0.25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</row>
    <row r="97" spans="1:23" ht="15" customHeight="1" x14ac:dyDescent="0.25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</row>
    <row r="98" spans="1:23" ht="15" customHeight="1" x14ac:dyDescent="0.25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</row>
    <row r="99" spans="1:23" ht="15" customHeight="1" x14ac:dyDescent="0.25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</row>
    <row r="100" spans="1:23" ht="15" customHeight="1" x14ac:dyDescent="0.25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</row>
    <row r="101" spans="1:23" ht="15" customHeight="1" x14ac:dyDescent="0.25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</row>
    <row r="102" spans="1:23" ht="15" customHeight="1" x14ac:dyDescent="0.25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</row>
    <row r="103" spans="1:23" ht="15" customHeight="1" x14ac:dyDescent="0.25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</row>
    <row r="104" spans="1:23" ht="15" customHeight="1" x14ac:dyDescent="0.25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</row>
    <row r="105" spans="1:23" ht="15" customHeight="1" x14ac:dyDescent="0.25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</row>
    <row r="106" spans="1:23" ht="15" customHeight="1" x14ac:dyDescent="0.25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</row>
    <row r="107" spans="1:23" ht="15" customHeight="1" x14ac:dyDescent="0.25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</row>
    <row r="108" spans="1:23" ht="15" customHeight="1" x14ac:dyDescent="0.25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</row>
    <row r="109" spans="1:23" ht="15" customHeight="1" x14ac:dyDescent="0.25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</row>
    <row r="110" spans="1:23" ht="15" customHeight="1" x14ac:dyDescent="0.25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</row>
    <row r="111" spans="1:23" ht="15" customHeight="1" x14ac:dyDescent="0.25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</row>
    <row r="112" spans="1:23" ht="15" customHeight="1" x14ac:dyDescent="0.25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</row>
    <row r="113" spans="1:23" ht="15" customHeight="1" x14ac:dyDescent="0.25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</row>
    <row r="114" spans="1:23" ht="15" customHeight="1" x14ac:dyDescent="0.25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</row>
    <row r="115" spans="1:23" ht="15" customHeight="1" x14ac:dyDescent="0.25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</row>
    <row r="116" spans="1:23" ht="15" customHeight="1" x14ac:dyDescent="0.25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</row>
    <row r="117" spans="1:23" ht="15" customHeight="1" x14ac:dyDescent="0.25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</row>
    <row r="118" spans="1:23" ht="15" customHeight="1" x14ac:dyDescent="0.25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</row>
    <row r="119" spans="1:23" ht="15" customHeight="1" x14ac:dyDescent="0.25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</row>
    <row r="120" spans="1:23" ht="15" customHeight="1" x14ac:dyDescent="0.25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</row>
    <row r="121" spans="1:23" ht="15" customHeight="1" x14ac:dyDescent="0.25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</row>
    <row r="122" spans="1:23" ht="15" customHeight="1" x14ac:dyDescent="0.25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</row>
    <row r="123" spans="1:23" ht="15" customHeight="1" x14ac:dyDescent="0.25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</row>
    <row r="124" spans="1:23" ht="15" customHeight="1" x14ac:dyDescent="0.25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</row>
    <row r="125" spans="1:23" ht="15" customHeight="1" x14ac:dyDescent="0.25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</row>
    <row r="126" spans="1:23" ht="15" customHeight="1" x14ac:dyDescent="0.25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</row>
    <row r="127" spans="1:23" ht="15" customHeight="1" x14ac:dyDescent="0.25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</row>
    <row r="128" spans="1:23" ht="15" customHeight="1" x14ac:dyDescent="0.25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</row>
    <row r="129" spans="1:23" ht="15" customHeight="1" x14ac:dyDescent="0.25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</row>
    <row r="130" spans="1:23" ht="15" customHeight="1" x14ac:dyDescent="0.25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</row>
    <row r="131" spans="1:23" ht="15" customHeight="1" x14ac:dyDescent="0.25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</row>
    <row r="132" spans="1:23" ht="15" customHeight="1" x14ac:dyDescent="0.25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</row>
    <row r="133" spans="1:23" ht="15" customHeight="1" x14ac:dyDescent="0.25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</row>
    <row r="134" spans="1:23" ht="15" customHeight="1" x14ac:dyDescent="0.25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</row>
    <row r="135" spans="1:23" ht="15" customHeight="1" x14ac:dyDescent="0.25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</row>
    <row r="136" spans="1:23" ht="15" customHeight="1" x14ac:dyDescent="0.25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</row>
    <row r="137" spans="1:23" ht="15" customHeight="1" x14ac:dyDescent="0.25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</row>
    <row r="138" spans="1:23" ht="15" customHeight="1" x14ac:dyDescent="0.25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</row>
    <row r="139" spans="1:23" ht="15" customHeight="1" x14ac:dyDescent="0.25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</row>
    <row r="140" spans="1:23" ht="15" customHeight="1" x14ac:dyDescent="0.25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</row>
    <row r="141" spans="1:23" ht="15" customHeight="1" x14ac:dyDescent="0.25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</row>
    <row r="142" spans="1:23" ht="15" customHeight="1" x14ac:dyDescent="0.25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</row>
    <row r="143" spans="1:23" ht="15" customHeight="1" x14ac:dyDescent="0.25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</row>
    <row r="144" spans="1:23" ht="15" customHeight="1" x14ac:dyDescent="0.25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</row>
    <row r="145" spans="1:23" ht="15" customHeight="1" x14ac:dyDescent="0.25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</row>
    <row r="146" spans="1:23" ht="15" customHeight="1" x14ac:dyDescent="0.25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</row>
    <row r="147" spans="1:23" ht="15" customHeight="1" x14ac:dyDescent="0.25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</row>
    <row r="148" spans="1:23" ht="15" customHeight="1" x14ac:dyDescent="0.25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</row>
    <row r="149" spans="1:23" ht="15" customHeight="1" x14ac:dyDescent="0.25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</row>
    <row r="150" spans="1:23" ht="15" customHeight="1" x14ac:dyDescent="0.25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</row>
    <row r="151" spans="1:23" ht="15" customHeight="1" x14ac:dyDescent="0.25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</row>
    <row r="152" spans="1:23" ht="15" customHeight="1" x14ac:dyDescent="0.25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</row>
    <row r="153" spans="1:23" ht="15" customHeight="1" x14ac:dyDescent="0.25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</row>
    <row r="154" spans="1:23" ht="15" customHeight="1" x14ac:dyDescent="0.25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</row>
    <row r="155" spans="1:23" ht="15" customHeight="1" x14ac:dyDescent="0.25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</row>
    <row r="156" spans="1:23" ht="15" customHeight="1" x14ac:dyDescent="0.25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</row>
    <row r="157" spans="1:23" ht="15" customHeight="1" x14ac:dyDescent="0.25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</row>
    <row r="158" spans="1:23" ht="15" customHeight="1" x14ac:dyDescent="0.25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</row>
    <row r="159" spans="1:23" ht="15" customHeight="1" x14ac:dyDescent="0.25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</row>
    <row r="160" spans="1:23" ht="15" customHeight="1" x14ac:dyDescent="0.25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</row>
    <row r="161" spans="1:23" ht="15" customHeight="1" x14ac:dyDescent="0.25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</row>
    <row r="162" spans="1:23" ht="15" customHeight="1" x14ac:dyDescent="0.25">
      <c r="A162" s="23" t="s">
        <v>146</v>
      </c>
    </row>
  </sheetData>
  <mergeCells count="1">
    <mergeCell ref="A2:W159"/>
  </mergeCells>
  <hyperlinks>
    <hyperlink ref="A162" location="Introdução!A1" display="Introdução!A1" xr:uid="{BEB68F90-DF34-4CED-A83C-61C520D3D9C9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1EB5-DFC1-426B-B547-A67D00C8D6DA}">
  <sheetPr>
    <tabColor rgb="FF92D050"/>
  </sheetPr>
  <dimension ref="A1:AG44"/>
  <sheetViews>
    <sheetView workbookViewId="0">
      <pane xSplit="8" ySplit="2" topLeftCell="I3" activePane="bottomRight" state="frozen"/>
      <selection activeCell="I3" sqref="I3:I22"/>
      <selection pane="topRight" activeCell="I3" sqref="I3:I22"/>
      <selection pane="bottomLeft" activeCell="I3" sqref="I3:I22"/>
      <selection pane="bottomRight" activeCell="M38" sqref="M38"/>
    </sheetView>
  </sheetViews>
  <sheetFormatPr defaultRowHeight="15" x14ac:dyDescent="0.25"/>
  <cols>
    <col min="1" max="1" width="7.28515625" bestFit="1" customWidth="1"/>
    <col min="2" max="2" width="18.7109375" customWidth="1"/>
    <col min="3" max="3" width="15.85546875" customWidth="1"/>
    <col min="4" max="4" width="16.7109375" customWidth="1"/>
    <col min="5" max="5" width="8.5703125" bestFit="1" customWidth="1"/>
    <col min="6" max="6" width="18.28515625" customWidth="1"/>
    <col min="7" max="7" width="21.28515625" bestFit="1" customWidth="1"/>
    <col min="8" max="8" width="12.7109375" customWidth="1"/>
    <col min="9" max="9" width="22" customWidth="1"/>
    <col min="10" max="10" width="16.28515625" customWidth="1"/>
    <col min="11" max="11" width="16.28515625" bestFit="1" customWidth="1"/>
    <col min="12" max="12" width="14.85546875" bestFit="1" customWidth="1"/>
    <col min="13" max="13" width="18.85546875" bestFit="1" customWidth="1"/>
    <col min="14" max="14" width="20.28515625" bestFit="1" customWidth="1"/>
    <col min="15" max="15" width="12.7109375" bestFit="1" customWidth="1"/>
    <col min="16" max="16" width="14.7109375" bestFit="1" customWidth="1"/>
    <col min="17" max="17" width="18.42578125" bestFit="1" customWidth="1"/>
    <col min="18" max="18" width="26.28515625" bestFit="1" customWidth="1"/>
    <col min="19" max="19" width="30.28515625" customWidth="1"/>
    <col min="20" max="20" width="35.42578125" customWidth="1"/>
    <col min="21" max="21" width="28.140625" customWidth="1"/>
    <col min="22" max="22" width="32.85546875" customWidth="1"/>
    <col min="23" max="23" width="32.42578125" bestFit="1" customWidth="1"/>
    <col min="24" max="24" width="36.42578125" bestFit="1" customWidth="1"/>
    <col min="25" max="25" width="27.42578125" bestFit="1" customWidth="1"/>
    <col min="26" max="26" width="23.42578125" bestFit="1" customWidth="1"/>
    <col min="27" max="27" width="36.140625" bestFit="1" customWidth="1"/>
    <col min="28" max="28" width="43.7109375" bestFit="1" customWidth="1"/>
    <col min="29" max="29" width="17.42578125" customWidth="1"/>
    <col min="30" max="30" width="41.42578125" customWidth="1"/>
    <col min="31" max="31" width="253.85546875" bestFit="1" customWidth="1"/>
  </cols>
  <sheetData>
    <row r="1" spans="1:33" x14ac:dyDescent="0.25">
      <c r="A1" s="33"/>
      <c r="B1" s="33"/>
      <c r="C1" s="33"/>
      <c r="D1" s="33"/>
      <c r="E1" s="33"/>
      <c r="F1" s="33"/>
      <c r="G1" s="33"/>
      <c r="H1" s="33"/>
      <c r="I1" s="34" t="s">
        <v>161</v>
      </c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 t="s">
        <v>162</v>
      </c>
      <c r="V1" s="37"/>
      <c r="W1" s="37"/>
      <c r="X1" s="37"/>
      <c r="Y1" s="37"/>
      <c r="Z1" s="37"/>
      <c r="AA1" s="37"/>
      <c r="AB1" s="37"/>
      <c r="AC1" s="37"/>
      <c r="AD1" s="37"/>
      <c r="AE1" s="38"/>
      <c r="AF1" s="38"/>
    </row>
    <row r="2" spans="1:33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1243</v>
      </c>
      <c r="G2" s="33" t="s">
        <v>5</v>
      </c>
      <c r="H2" s="33" t="s">
        <v>163</v>
      </c>
      <c r="I2" s="39" t="s">
        <v>20</v>
      </c>
      <c r="J2" s="35" t="s">
        <v>10</v>
      </c>
      <c r="K2" s="35" t="s">
        <v>11</v>
      </c>
      <c r="L2" s="35" t="s">
        <v>12</v>
      </c>
      <c r="M2" s="35" t="s">
        <v>13</v>
      </c>
      <c r="N2" s="35" t="s">
        <v>14</v>
      </c>
      <c r="O2" s="35" t="s">
        <v>15</v>
      </c>
      <c r="P2" s="35" t="s">
        <v>16</v>
      </c>
      <c r="Q2" s="35" t="s">
        <v>316</v>
      </c>
      <c r="R2" s="35" t="s">
        <v>17</v>
      </c>
      <c r="S2" s="35" t="s">
        <v>18</v>
      </c>
      <c r="T2" s="35" t="s">
        <v>19</v>
      </c>
      <c r="U2" s="37" t="s">
        <v>164</v>
      </c>
      <c r="V2" s="37" t="s">
        <v>165</v>
      </c>
      <c r="W2" s="37" t="s">
        <v>166</v>
      </c>
      <c r="X2" s="37" t="s">
        <v>167</v>
      </c>
      <c r="Y2" s="37" t="s">
        <v>168</v>
      </c>
      <c r="Z2" s="37" t="s">
        <v>169</v>
      </c>
      <c r="AA2" s="37" t="s">
        <v>170</v>
      </c>
      <c r="AB2" s="37" t="s">
        <v>171</v>
      </c>
      <c r="AC2" s="37" t="s">
        <v>172</v>
      </c>
      <c r="AD2" s="37" t="s">
        <v>173</v>
      </c>
      <c r="AE2" s="40" t="s">
        <v>174</v>
      </c>
      <c r="AF2" s="40" t="s">
        <v>175</v>
      </c>
    </row>
    <row r="3" spans="1:33" s="9" customFormat="1" x14ac:dyDescent="0.25">
      <c r="A3" t="s">
        <v>317</v>
      </c>
      <c r="B3" t="str">
        <f>VLOOKUP(A3,'CAPEX - Navegação Aérea'!$A$3:$B$22,2,FALSE)</f>
        <v>COMANDANTE ARISTON PESSOA</v>
      </c>
      <c r="C3"/>
      <c r="D3" t="s">
        <v>318</v>
      </c>
      <c r="E3" t="s">
        <v>319</v>
      </c>
      <c r="F3" t="s">
        <v>97</v>
      </c>
      <c r="G3" t="s">
        <v>320</v>
      </c>
      <c r="H3" s="69">
        <v>3</v>
      </c>
      <c r="I3" s="41">
        <f t="shared" ref="I3:I22" si="0">SUM(J3:T3)</f>
        <v>10185000</v>
      </c>
      <c r="J3" s="42">
        <f>VLOOKUP(A3,'[12]CAPEX_AmpliAR_v3.1'!$A$6:$H$842,8,)</f>
        <v>0</v>
      </c>
      <c r="K3" s="42">
        <f>VLOOKUP(A3,'[12]CAPEX_AmpliAR_v3.1'!$A$6:$Q$842,9,)</f>
        <v>0</v>
      </c>
      <c r="L3" s="42">
        <f>VLOOKUP(A3,'[12]CAPEX_AmpliAR_v3.1'!$A$6:$Q$842,10,)</f>
        <v>0</v>
      </c>
      <c r="M3" s="42">
        <f>VLOOKUP(A3,'[12]CAPEX_AmpliAR_v3.1'!$A$6:$Q$842,11,)</f>
        <v>0</v>
      </c>
      <c r="N3" s="42">
        <f>VLOOKUP(A3,'[12]CAPEX_AmpliAR_v3.1'!$A$6:$Q$842,12,)</f>
        <v>3195000</v>
      </c>
      <c r="O3" s="42">
        <v>0</v>
      </c>
      <c r="P3" s="42">
        <f>VLOOKUP(A3,'[12]CAPEX_AmpliAR_v3.1'!$A$6:$Q$842,14,)</f>
        <v>0</v>
      </c>
      <c r="Q3" s="42">
        <v>6175000</v>
      </c>
      <c r="R3" s="42">
        <v>0</v>
      </c>
      <c r="S3" s="42">
        <f>VLOOKUP(A3,'[12]CAPEX_AmpliAR_v3.1'!$A$6:$Q$842,16,)</f>
        <v>815000</v>
      </c>
      <c r="T3" s="42">
        <f>VLOOKUP(A3,'[12]CAPEX_AmpliAR_v3.1'!$A$6:$Q$842,17,)</f>
        <v>0</v>
      </c>
      <c r="U3" t="s">
        <v>97</v>
      </c>
      <c r="V3" t="s">
        <v>97</v>
      </c>
      <c r="W3" t="s">
        <v>97</v>
      </c>
      <c r="X3" t="s">
        <v>97</v>
      </c>
      <c r="Y3" s="49">
        <v>6202</v>
      </c>
      <c r="Z3" t="s">
        <v>97</v>
      </c>
      <c r="AA3" t="s">
        <v>97</v>
      </c>
      <c r="AB3" t="s">
        <v>97</v>
      </c>
      <c r="AC3" s="45">
        <v>2600</v>
      </c>
      <c r="AD3" s="49" t="s">
        <v>97</v>
      </c>
      <c r="AE3" t="s">
        <v>1244</v>
      </c>
      <c r="AF3" t="s">
        <v>97</v>
      </c>
      <c r="AG3" s="9" t="s">
        <v>126</v>
      </c>
    </row>
    <row r="4" spans="1:33" x14ac:dyDescent="0.25">
      <c r="A4" t="s">
        <v>47</v>
      </c>
      <c r="B4" t="s">
        <v>48</v>
      </c>
      <c r="C4" t="s">
        <v>176</v>
      </c>
      <c r="D4" t="s">
        <v>48</v>
      </c>
      <c r="E4" t="s">
        <v>30</v>
      </c>
      <c r="F4" t="s">
        <v>1245</v>
      </c>
      <c r="G4" t="s">
        <v>177</v>
      </c>
      <c r="H4">
        <v>3</v>
      </c>
      <c r="I4" s="41">
        <f t="shared" si="0"/>
        <v>58815000</v>
      </c>
      <c r="J4" s="42">
        <f>VLOOKUP(A4,'[12]CAPEX_AmpliAR_v3.1'!$A$6:$H$842,8,)</f>
        <v>19645000</v>
      </c>
      <c r="K4" s="42">
        <f>VLOOKUP(A4,'[12]CAPEX_AmpliAR_v3.1'!$A$6:$Q$842,9,)</f>
        <v>825000</v>
      </c>
      <c r="L4" s="42">
        <f>VLOOKUP(A4,'[12]CAPEX_AmpliAR_v3.1'!$A$6:$Q$842,10,)</f>
        <v>2800000</v>
      </c>
      <c r="M4" s="42">
        <f>VLOOKUP(A4,'[12]CAPEX_AmpliAR_v3.1'!$A$6:$Q$842,11,)</f>
        <v>1230000</v>
      </c>
      <c r="N4" s="42">
        <f>VLOOKUP(A4,'[12]CAPEX_AmpliAR_v3.1'!$A$6:$Q$842,12,)</f>
        <v>17630000</v>
      </c>
      <c r="O4" s="42">
        <v>0</v>
      </c>
      <c r="P4" s="42">
        <f>VLOOKUP(A4,'[12]CAPEX_AmpliAR_v3.1'!$A$6:$Q$842,14,)</f>
        <v>13290000</v>
      </c>
      <c r="Q4" s="42">
        <v>1225000</v>
      </c>
      <c r="R4" s="42">
        <v>0</v>
      </c>
      <c r="S4" s="42">
        <f>VLOOKUP(A4,'[12]CAPEX_AmpliAR_v3.1'!$A$6:$Q$842,16,)</f>
        <v>1875000</v>
      </c>
      <c r="T4" s="42">
        <f>VLOOKUP(A4,'[12]CAPEX_AmpliAR_v3.1'!$A$6:$Q$842,17,)</f>
        <v>295000</v>
      </c>
      <c r="U4" s="43" t="s">
        <v>178</v>
      </c>
      <c r="V4" s="44" t="s">
        <v>179</v>
      </c>
      <c r="W4" s="45">
        <v>193050</v>
      </c>
      <c r="X4" s="45">
        <v>650</v>
      </c>
      <c r="Y4" s="45">
        <v>12168</v>
      </c>
      <c r="Z4" s="43" t="s">
        <v>97</v>
      </c>
      <c r="AA4" s="45">
        <v>1779.2</v>
      </c>
      <c r="AB4" s="45" t="s">
        <v>97</v>
      </c>
      <c r="AC4" s="45">
        <v>4275</v>
      </c>
      <c r="AD4" s="43" t="s">
        <v>97</v>
      </c>
      <c r="AE4" s="9" t="s">
        <v>180</v>
      </c>
      <c r="AF4" s="9" t="s">
        <v>181</v>
      </c>
      <c r="AG4" s="9" t="s">
        <v>127</v>
      </c>
    </row>
    <row r="5" spans="1:33" ht="15" customHeight="1" x14ac:dyDescent="0.25">
      <c r="A5" t="s">
        <v>36</v>
      </c>
      <c r="B5" t="s">
        <v>37</v>
      </c>
      <c r="C5" t="s">
        <v>182</v>
      </c>
      <c r="D5" t="s">
        <v>37</v>
      </c>
      <c r="E5" t="s">
        <v>24</v>
      </c>
      <c r="F5" t="s">
        <v>1246</v>
      </c>
      <c r="G5" t="s">
        <v>177</v>
      </c>
      <c r="H5">
        <v>3</v>
      </c>
      <c r="I5" s="41">
        <f t="shared" si="0"/>
        <v>45635000</v>
      </c>
      <c r="J5" s="42">
        <f>VLOOKUP(A5,'[12]CAPEX_AmpliAR_v3.1'!$A$6:$H$842,8,)</f>
        <v>16145000</v>
      </c>
      <c r="K5" s="42">
        <f>VLOOKUP(A5,'[12]CAPEX_AmpliAR_v3.1'!$A$6:$Q$842,9,)</f>
        <v>825000</v>
      </c>
      <c r="L5" s="42">
        <f>VLOOKUP(A5,'[12]CAPEX_AmpliAR_v3.1'!$A$6:$Q$842,10,)</f>
        <v>945000</v>
      </c>
      <c r="M5" s="42">
        <f>VLOOKUP(A5,'[12]CAPEX_AmpliAR_v3.1'!$A$6:$Q$842,11,)</f>
        <v>5920000</v>
      </c>
      <c r="N5" s="42">
        <f>VLOOKUP(A5,'[12]CAPEX_AmpliAR_v3.1'!$A$6:$Q$842,12,)</f>
        <v>10485000</v>
      </c>
      <c r="O5" s="42">
        <v>0</v>
      </c>
      <c r="P5" s="42">
        <f>VLOOKUP(A5,'[12]CAPEX_AmpliAR_v3.1'!$A$6:$Q$842,14,)</f>
        <v>8295000</v>
      </c>
      <c r="Q5" s="42">
        <v>1650000</v>
      </c>
      <c r="R5" s="42">
        <v>0</v>
      </c>
      <c r="S5" s="42">
        <f>VLOOKUP(A5,'[12]CAPEX_AmpliAR_v3.1'!$A$6:$Q$842,16,)</f>
        <v>1360000</v>
      </c>
      <c r="T5" s="42">
        <f>VLOOKUP(A5,'[12]CAPEX_AmpliAR_v3.1'!$A$6:$Q$842,17,)</f>
        <v>10000</v>
      </c>
      <c r="U5" s="43" t="s">
        <v>183</v>
      </c>
      <c r="V5" s="44" t="s">
        <v>179</v>
      </c>
      <c r="W5" s="45">
        <v>33000</v>
      </c>
      <c r="X5" s="45">
        <v>10060</v>
      </c>
      <c r="Y5" s="45">
        <v>7360</v>
      </c>
      <c r="Z5" s="46" t="s">
        <v>97</v>
      </c>
      <c r="AA5" s="45">
        <v>1110.2</v>
      </c>
      <c r="AB5" s="46" t="s">
        <v>97</v>
      </c>
      <c r="AC5" s="45">
        <v>3385</v>
      </c>
      <c r="AD5" s="43" t="s">
        <v>97</v>
      </c>
      <c r="AE5" t="s">
        <v>184</v>
      </c>
      <c r="AF5" t="s">
        <v>185</v>
      </c>
      <c r="AG5" t="s">
        <v>127</v>
      </c>
    </row>
    <row r="6" spans="1:33" x14ac:dyDescent="0.25">
      <c r="A6" t="s">
        <v>321</v>
      </c>
      <c r="B6" t="str">
        <f>VLOOKUP(A6,'CAPEX - Navegação Aérea'!$A$3:$B$22,2,FALSE)</f>
        <v>AEROPORTO REGIONAL DE CANOA QUEBRADA DRAGÃO DO MAR</v>
      </c>
      <c r="D6" t="s">
        <v>322</v>
      </c>
      <c r="E6" t="s">
        <v>323</v>
      </c>
      <c r="F6" t="s">
        <v>97</v>
      </c>
      <c r="G6" t="s">
        <v>320</v>
      </c>
      <c r="H6" s="69">
        <v>4</v>
      </c>
      <c r="I6" s="41">
        <f t="shared" si="0"/>
        <v>16800000</v>
      </c>
      <c r="J6" s="42">
        <f>VLOOKUP(A6,'[12]CAPEX_AmpliAR_v3.1'!$A$6:$H$842,8,)</f>
        <v>0</v>
      </c>
      <c r="K6" s="42">
        <f>VLOOKUP(A6,'[12]CAPEX_AmpliAR_v3.1'!$A$6:$Q$842,9,)</f>
        <v>0</v>
      </c>
      <c r="L6" s="42">
        <f>VLOOKUP(A6,'[12]CAPEX_AmpliAR_v3.1'!$A$6:$Q$842,10,)</f>
        <v>0</v>
      </c>
      <c r="M6" s="42">
        <f>VLOOKUP(A6,'[12]CAPEX_AmpliAR_v3.1'!$A$6:$Q$842,11,)</f>
        <v>0</v>
      </c>
      <c r="N6" s="42">
        <f>VLOOKUP(A6,'[12]CAPEX_AmpliAR_v3.1'!$A$6:$Q$842,12,)</f>
        <v>8205000</v>
      </c>
      <c r="O6" s="42">
        <v>0</v>
      </c>
      <c r="P6" s="42">
        <f>VLOOKUP(A6,'[12]CAPEX_AmpliAR_v3.1'!$A$6:$Q$842,14,)</f>
        <v>0</v>
      </c>
      <c r="Q6" s="42">
        <v>7950000</v>
      </c>
      <c r="R6" s="42">
        <v>0</v>
      </c>
      <c r="S6" s="42">
        <f>VLOOKUP(A6,'[12]CAPEX_AmpliAR_v3.1'!$A$6:$Q$842,16,)</f>
        <v>645000</v>
      </c>
      <c r="T6" s="42">
        <f>VLOOKUP(A6,'[12]CAPEX_AmpliAR_v3.1'!$A$6:$Q$842,17,)</f>
        <v>0</v>
      </c>
      <c r="U6" t="s">
        <v>97</v>
      </c>
      <c r="V6" t="s">
        <v>97</v>
      </c>
      <c r="W6" t="s">
        <v>97</v>
      </c>
      <c r="X6" t="s">
        <v>97</v>
      </c>
      <c r="Y6" s="49">
        <v>6882</v>
      </c>
      <c r="Z6" t="s">
        <v>97</v>
      </c>
      <c r="AA6" t="s">
        <v>97</v>
      </c>
      <c r="AC6" s="45">
        <v>2080</v>
      </c>
      <c r="AE6" t="s">
        <v>1247</v>
      </c>
      <c r="AF6" t="s">
        <v>97</v>
      </c>
      <c r="AG6" t="s">
        <v>126</v>
      </c>
    </row>
    <row r="7" spans="1:33" x14ac:dyDescent="0.25">
      <c r="A7" t="s">
        <v>39</v>
      </c>
      <c r="B7" t="s">
        <v>40</v>
      </c>
      <c r="C7" t="s">
        <v>203</v>
      </c>
      <c r="D7" t="s">
        <v>42</v>
      </c>
      <c r="E7" t="str">
        <f>VLOOKUP(A7,'[13]A25-M03-D17_CAPEX_AmpliAR'!$B$3:$F$950,5,)</f>
        <v>BA</v>
      </c>
      <c r="F7" t="s">
        <v>1248</v>
      </c>
      <c r="G7" t="s">
        <v>177</v>
      </c>
      <c r="H7">
        <v>3</v>
      </c>
      <c r="I7" s="41">
        <f t="shared" si="0"/>
        <v>23575000</v>
      </c>
      <c r="J7" s="42">
        <f>VLOOKUP(A7,'[12]CAPEX_AmpliAR_v3.1'!$A$6:$H$842,8,)</f>
        <v>0</v>
      </c>
      <c r="K7" s="42">
        <f>VLOOKUP(A7,'[12]CAPEX_AmpliAR_v3.1'!$A$6:$Q$842,9,)</f>
        <v>850000</v>
      </c>
      <c r="L7" s="42">
        <f>VLOOKUP(A7,'[12]CAPEX_AmpliAR_v3.1'!$A$6:$Q$842,10,)</f>
        <v>0</v>
      </c>
      <c r="M7" s="42">
        <f>VLOOKUP(A7,'[12]CAPEX_AmpliAR_v3.1'!$A$6:$Q$842,11,)</f>
        <v>0</v>
      </c>
      <c r="N7" s="42">
        <f>VLOOKUP(A7,'[12]CAPEX_AmpliAR_v3.1'!$A$6:$Q$842,12,)</f>
        <v>5320000</v>
      </c>
      <c r="O7" s="42">
        <v>0</v>
      </c>
      <c r="P7" s="42">
        <f>VLOOKUP(A7,'[12]CAPEX_AmpliAR_v3.1'!$A$6:$Q$842,14,)</f>
        <v>12170000</v>
      </c>
      <c r="Q7" s="42">
        <v>3775000</v>
      </c>
      <c r="R7" s="42">
        <v>0</v>
      </c>
      <c r="S7" s="42">
        <f>VLOOKUP(A7,'[12]CAPEX_AmpliAR_v3.1'!$A$6:$Q$842,16,)</f>
        <v>1460000</v>
      </c>
      <c r="T7" s="42">
        <f>VLOOKUP(A7,'[12]CAPEX_AmpliAR_v3.1'!$A$6:$Q$842,17,)</f>
        <v>0</v>
      </c>
      <c r="U7" s="46" t="s">
        <v>97</v>
      </c>
      <c r="V7" s="44" t="s">
        <v>179</v>
      </c>
      <c r="W7" s="45" t="s">
        <v>97</v>
      </c>
      <c r="X7" s="48" t="s">
        <v>97</v>
      </c>
      <c r="Y7" s="45">
        <v>1310</v>
      </c>
      <c r="Z7" s="46" t="s">
        <v>97</v>
      </c>
      <c r="AA7" s="45">
        <v>679.2</v>
      </c>
      <c r="AB7" s="46" t="s">
        <v>97</v>
      </c>
      <c r="AC7" s="45">
        <v>2310</v>
      </c>
      <c r="AD7" s="46" t="s">
        <v>97</v>
      </c>
      <c r="AE7" t="s">
        <v>204</v>
      </c>
      <c r="AF7" t="s">
        <v>205</v>
      </c>
      <c r="AG7" t="s">
        <v>126</v>
      </c>
    </row>
    <row r="8" spans="1:33" x14ac:dyDescent="0.25">
      <c r="A8" t="s">
        <v>50</v>
      </c>
      <c r="B8" t="s">
        <v>51</v>
      </c>
      <c r="C8" t="s">
        <v>186</v>
      </c>
      <c r="D8" t="s">
        <v>51</v>
      </c>
      <c r="E8" t="s">
        <v>35</v>
      </c>
      <c r="F8" t="s">
        <v>1249</v>
      </c>
      <c r="G8" t="s">
        <v>177</v>
      </c>
      <c r="H8">
        <v>1</v>
      </c>
      <c r="I8" s="41">
        <f t="shared" si="0"/>
        <v>32215000</v>
      </c>
      <c r="J8" s="42">
        <f>VLOOKUP(A8,'[12]CAPEX_AmpliAR_v3.1'!$A$6:$H$842,8,)</f>
        <v>12725000</v>
      </c>
      <c r="K8" s="42">
        <f>VLOOKUP(A8,'[12]CAPEX_AmpliAR_v3.1'!$A$6:$Q$842,9,)</f>
        <v>795000</v>
      </c>
      <c r="L8" s="42">
        <f>VLOOKUP(A8,'[12]CAPEX_AmpliAR_v3.1'!$A$6:$Q$842,10,)</f>
        <v>725000</v>
      </c>
      <c r="M8" s="42">
        <f>VLOOKUP(A8,'[12]CAPEX_AmpliAR_v3.1'!$A$6:$Q$842,11,)</f>
        <v>1855000</v>
      </c>
      <c r="N8" s="42">
        <f>VLOOKUP(A8,'[12]CAPEX_AmpliAR_v3.1'!$A$6:$Q$842,12,)</f>
        <v>10850000</v>
      </c>
      <c r="O8" s="42">
        <v>0</v>
      </c>
      <c r="P8" s="42">
        <f>VLOOKUP(A8,'[12]CAPEX_AmpliAR_v3.1'!$A$6:$Q$842,14,)</f>
        <v>3800000</v>
      </c>
      <c r="Q8" s="42">
        <v>650000</v>
      </c>
      <c r="R8" s="42">
        <v>0</v>
      </c>
      <c r="S8" s="42">
        <f>VLOOKUP(A8,'[12]CAPEX_AmpliAR_v3.1'!$A$6:$Q$842,16,)</f>
        <v>555000</v>
      </c>
      <c r="T8" s="42">
        <f>VLOOKUP(A8,'[12]CAPEX_AmpliAR_v3.1'!$A$6:$Q$842,17,)</f>
        <v>260000</v>
      </c>
      <c r="U8" s="43" t="s">
        <v>187</v>
      </c>
      <c r="V8" s="44" t="s">
        <v>179</v>
      </c>
      <c r="W8" s="45">
        <v>130800</v>
      </c>
      <c r="X8" s="45">
        <v>3250</v>
      </c>
      <c r="Y8" s="45">
        <v>16225</v>
      </c>
      <c r="Z8" s="46" t="s">
        <v>97</v>
      </c>
      <c r="AA8" s="45">
        <v>508</v>
      </c>
      <c r="AB8" s="46" t="s">
        <v>97</v>
      </c>
      <c r="AC8" s="45">
        <v>1350</v>
      </c>
      <c r="AD8" s="43" t="s">
        <v>97</v>
      </c>
      <c r="AE8" t="s">
        <v>188</v>
      </c>
      <c r="AF8" t="s">
        <v>189</v>
      </c>
      <c r="AG8" t="s">
        <v>127</v>
      </c>
    </row>
    <row r="9" spans="1:33" x14ac:dyDescent="0.25">
      <c r="A9" t="s">
        <v>53</v>
      </c>
      <c r="B9" t="s">
        <v>54</v>
      </c>
      <c r="C9" t="s">
        <v>55</v>
      </c>
      <c r="D9" t="s">
        <v>54</v>
      </c>
      <c r="E9" t="s">
        <v>34</v>
      </c>
      <c r="F9" t="s">
        <v>1248</v>
      </c>
      <c r="G9" t="s">
        <v>177</v>
      </c>
      <c r="H9">
        <v>3</v>
      </c>
      <c r="I9" s="41">
        <f t="shared" si="0"/>
        <v>49375000</v>
      </c>
      <c r="J9" s="42">
        <f>VLOOKUP(A9,'[12]CAPEX_AmpliAR_v3.1'!$A$6:$H$842,8,)</f>
        <v>23045000</v>
      </c>
      <c r="K9" s="42">
        <f>VLOOKUP(A9,'[12]CAPEX_AmpliAR_v3.1'!$A$6:$Q$842,9,)</f>
        <v>850000</v>
      </c>
      <c r="L9" s="42">
        <f>VLOOKUP(A9,'[12]CAPEX_AmpliAR_v3.1'!$A$6:$Q$842,10,)</f>
        <v>0</v>
      </c>
      <c r="M9" s="42">
        <f>VLOOKUP(A9,'[12]CAPEX_AmpliAR_v3.1'!$A$6:$Q$842,11,)</f>
        <v>745000</v>
      </c>
      <c r="N9" s="42">
        <f>VLOOKUP(A9,'[12]CAPEX_AmpliAR_v3.1'!$A$6:$Q$842,12,)</f>
        <v>17705000</v>
      </c>
      <c r="O9" s="42">
        <v>0</v>
      </c>
      <c r="P9" s="42">
        <f>VLOOKUP(A9,'[12]CAPEX_AmpliAR_v3.1'!$A$6:$Q$842,14,)</f>
        <v>3965000</v>
      </c>
      <c r="Q9" s="42">
        <v>2725000</v>
      </c>
      <c r="R9" s="42">
        <v>0</v>
      </c>
      <c r="S9" s="42">
        <f>VLOOKUP(A9,'[12]CAPEX_AmpliAR_v3.1'!$A$6:$Q$842,16,)</f>
        <v>335000</v>
      </c>
      <c r="T9" s="42">
        <f>VLOOKUP(A9,'[12]CAPEX_AmpliAR_v3.1'!$A$6:$Q$842,17,)</f>
        <v>5000</v>
      </c>
      <c r="U9" s="46" t="s">
        <v>198</v>
      </c>
      <c r="V9" s="44" t="s">
        <v>179</v>
      </c>
      <c r="W9" s="45" t="s">
        <v>97</v>
      </c>
      <c r="X9" s="45">
        <v>100</v>
      </c>
      <c r="Y9" s="45">
        <v>12795</v>
      </c>
      <c r="Z9" s="46" t="s">
        <v>97</v>
      </c>
      <c r="AA9" s="45">
        <v>579</v>
      </c>
      <c r="AB9" s="46" t="s">
        <v>97</v>
      </c>
      <c r="AC9" s="45">
        <v>1075</v>
      </c>
      <c r="AD9" s="43" t="s">
        <v>97</v>
      </c>
      <c r="AE9" t="s">
        <v>216</v>
      </c>
      <c r="AF9" t="s">
        <v>218</v>
      </c>
      <c r="AG9" t="s">
        <v>126</v>
      </c>
    </row>
    <row r="10" spans="1:33" x14ac:dyDescent="0.25">
      <c r="A10" t="s">
        <v>56</v>
      </c>
      <c r="B10" t="s">
        <v>57</v>
      </c>
      <c r="C10" t="s">
        <v>190</v>
      </c>
      <c r="D10" t="s">
        <v>57</v>
      </c>
      <c r="E10" t="s">
        <v>25</v>
      </c>
      <c r="F10" t="s">
        <v>1250</v>
      </c>
      <c r="G10" t="s">
        <v>177</v>
      </c>
      <c r="H10">
        <v>3</v>
      </c>
      <c r="I10" s="41">
        <f t="shared" si="0"/>
        <v>13995000</v>
      </c>
      <c r="J10" s="42">
        <f>VLOOKUP(A10,'[12]CAPEX_AmpliAR_v3.1'!$A$6:$H$842,8,)</f>
        <v>0</v>
      </c>
      <c r="K10" s="42">
        <f>VLOOKUP(A10,'[12]CAPEX_AmpliAR_v3.1'!$A$6:$Q$842,9,)</f>
        <v>800000</v>
      </c>
      <c r="L10" s="42">
        <f>VLOOKUP(A10,'[12]CAPEX_AmpliAR_v3.1'!$A$6:$Q$842,10,)</f>
        <v>0</v>
      </c>
      <c r="M10" s="42">
        <f>VLOOKUP(A10,'[12]CAPEX_AmpliAR_v3.1'!$A$6:$Q$842,11,)</f>
        <v>800000</v>
      </c>
      <c r="N10" s="42">
        <f>VLOOKUP(A10,'[12]CAPEX_AmpliAR_v3.1'!$A$6:$Q$842,12,)</f>
        <v>2620000</v>
      </c>
      <c r="O10" s="42">
        <v>0</v>
      </c>
      <c r="P10" s="42">
        <f>VLOOKUP(A10,'[12]CAPEX_AmpliAR_v3.1'!$A$6:$Q$842,14,)</f>
        <v>5820000</v>
      </c>
      <c r="Q10" s="42">
        <v>2475000</v>
      </c>
      <c r="R10" s="42">
        <v>0</v>
      </c>
      <c r="S10" s="42">
        <f>VLOOKUP(A10,'[12]CAPEX_AmpliAR_v3.1'!$A$6:$Q$842,16,)</f>
        <v>1470000</v>
      </c>
      <c r="T10" s="42">
        <f>VLOOKUP(A10,'[12]CAPEX_AmpliAR_v3.1'!$A$6:$Q$842,17,)</f>
        <v>10000</v>
      </c>
      <c r="U10" s="46" t="s">
        <v>97</v>
      </c>
      <c r="V10" s="44" t="s">
        <v>179</v>
      </c>
      <c r="W10" s="45" t="s">
        <v>97</v>
      </c>
      <c r="X10" s="45">
        <v>1333</v>
      </c>
      <c r="Y10" s="45">
        <v>4095</v>
      </c>
      <c r="Z10" s="46" t="s">
        <v>97</v>
      </c>
      <c r="AA10" s="45">
        <v>779.2</v>
      </c>
      <c r="AB10" s="46" t="s">
        <v>97</v>
      </c>
      <c r="AC10" s="45">
        <v>4365</v>
      </c>
      <c r="AD10" s="43" t="s">
        <v>97</v>
      </c>
      <c r="AE10" t="s">
        <v>191</v>
      </c>
      <c r="AF10" t="s">
        <v>192</v>
      </c>
      <c r="AG10" t="s">
        <v>127</v>
      </c>
    </row>
    <row r="11" spans="1:33" x14ac:dyDescent="0.25">
      <c r="A11" t="s">
        <v>91</v>
      </c>
      <c r="B11" t="s">
        <v>132</v>
      </c>
      <c r="C11" t="s">
        <v>206</v>
      </c>
      <c r="D11" t="s">
        <v>102</v>
      </c>
      <c r="E11" t="str">
        <f>VLOOKUP(A11,'[13]A25-M03-D17_CAPEX_AmpliAR'!$B$3:$F$950,5,)</f>
        <v>MT</v>
      </c>
      <c r="F11" t="s">
        <v>1251</v>
      </c>
      <c r="G11" t="s">
        <v>177</v>
      </c>
      <c r="H11">
        <v>0</v>
      </c>
      <c r="I11" s="41">
        <f t="shared" si="0"/>
        <v>6150000</v>
      </c>
      <c r="J11" s="42">
        <f>VLOOKUP(A11,'[12]CAPEX_AmpliAR_v3.1'!$A$6:$H$842,8,)</f>
        <v>0</v>
      </c>
      <c r="K11" s="42">
        <f>VLOOKUP(A11,'[12]CAPEX_AmpliAR_v3.1'!$A$6:$Q$842,9,)</f>
        <v>140000</v>
      </c>
      <c r="L11" s="42">
        <f>VLOOKUP(A11,'[12]CAPEX_AmpliAR_v3.1'!$A$6:$Q$842,10,)</f>
        <v>3025000</v>
      </c>
      <c r="M11" s="42">
        <f>VLOOKUP(A11,'[12]CAPEX_AmpliAR_v3.1'!$A$6:$Q$842,11,)</f>
        <v>0</v>
      </c>
      <c r="N11" s="42">
        <f>VLOOKUP(A11,'[12]CAPEX_AmpliAR_v3.1'!$A$6:$Q$842,12,)</f>
        <v>555000</v>
      </c>
      <c r="O11" s="42">
        <v>0</v>
      </c>
      <c r="P11" s="42">
        <f>VLOOKUP(A11,'[12]CAPEX_AmpliAR_v3.1'!$A$6:$Q$842,14,)</f>
        <v>2175000</v>
      </c>
      <c r="Q11" s="42">
        <v>0</v>
      </c>
      <c r="R11" s="42">
        <v>0</v>
      </c>
      <c r="S11" s="42">
        <f>VLOOKUP(A11,'[12]CAPEX_AmpliAR_v3.1'!$A$6:$Q$842,16,)</f>
        <v>255000</v>
      </c>
      <c r="T11" s="42">
        <f>VLOOKUP(A11,'[12]CAPEX_AmpliAR_v3.1'!$A$6:$Q$842,17,)</f>
        <v>0</v>
      </c>
      <c r="U11" s="46" t="s">
        <v>97</v>
      </c>
      <c r="V11" s="44" t="s">
        <v>194</v>
      </c>
      <c r="W11" s="45">
        <v>63600</v>
      </c>
      <c r="X11" s="45" t="s">
        <v>97</v>
      </c>
      <c r="Y11" s="45">
        <v>470</v>
      </c>
      <c r="Z11" s="46" t="s">
        <v>97</v>
      </c>
      <c r="AA11" s="45">
        <v>305</v>
      </c>
      <c r="AB11" s="46" t="s">
        <v>97</v>
      </c>
      <c r="AC11" s="45">
        <v>810</v>
      </c>
      <c r="AD11" s="46" t="s">
        <v>97</v>
      </c>
      <c r="AE11" t="s">
        <v>207</v>
      </c>
      <c r="AF11" t="s">
        <v>196</v>
      </c>
      <c r="AG11" t="s">
        <v>323</v>
      </c>
    </row>
    <row r="12" spans="1:33" x14ac:dyDescent="0.25">
      <c r="A12" t="s">
        <v>154</v>
      </c>
      <c r="B12" t="s">
        <v>155</v>
      </c>
      <c r="C12" t="s">
        <v>193</v>
      </c>
      <c r="D12" t="s">
        <v>155</v>
      </c>
      <c r="E12" t="s">
        <v>31</v>
      </c>
      <c r="F12" t="s">
        <v>1248</v>
      </c>
      <c r="G12" t="s">
        <v>177</v>
      </c>
      <c r="H12">
        <v>0</v>
      </c>
      <c r="I12" s="41">
        <f t="shared" si="0"/>
        <v>2520000</v>
      </c>
      <c r="J12" s="42">
        <f>VLOOKUP(A12,'[12]CAPEX_AmpliAR_v3.1'!$A$6:$H$842,8,)</f>
        <v>0</v>
      </c>
      <c r="K12" s="42">
        <f>VLOOKUP(A12,'[12]CAPEX_AmpliAR_v3.1'!$A$6:$Q$842,9,)</f>
        <v>145000</v>
      </c>
      <c r="L12" s="42">
        <f>VLOOKUP(A12,'[12]CAPEX_AmpliAR_v3.1'!$A$6:$Q$842,10,)</f>
        <v>0</v>
      </c>
      <c r="M12" s="42">
        <f>VLOOKUP(A12,'[12]CAPEX_AmpliAR_v3.1'!$A$6:$Q$842,11,)</f>
        <v>0</v>
      </c>
      <c r="N12" s="42">
        <f>VLOOKUP(A12,'[12]CAPEX_AmpliAR_v3.1'!$A$6:$Q$842,12,)</f>
        <v>330000</v>
      </c>
      <c r="O12" s="42">
        <v>0</v>
      </c>
      <c r="P12" s="42">
        <f>VLOOKUP(A12,'[12]CAPEX_AmpliAR_v3.1'!$A$6:$Q$842,14,)</f>
        <v>1500000</v>
      </c>
      <c r="Q12" s="42">
        <v>300000</v>
      </c>
      <c r="R12" s="42">
        <v>0</v>
      </c>
      <c r="S12" s="42">
        <f>VLOOKUP(A12,'[12]CAPEX_AmpliAR_v3.1'!$A$6:$Q$842,16,)</f>
        <v>245000</v>
      </c>
      <c r="T12" s="42">
        <f>VLOOKUP(A12,'[12]CAPEX_AmpliAR_v3.1'!$A$6:$Q$842,17,)</f>
        <v>0</v>
      </c>
      <c r="U12" s="46" t="s">
        <v>97</v>
      </c>
      <c r="V12" s="44" t="s">
        <v>194</v>
      </c>
      <c r="W12" s="45" t="s">
        <v>97</v>
      </c>
      <c r="X12" s="45" t="s">
        <v>97</v>
      </c>
      <c r="Y12" s="45" t="s">
        <v>97</v>
      </c>
      <c r="Z12" s="46" t="s">
        <v>97</v>
      </c>
      <c r="AA12" s="45">
        <v>219</v>
      </c>
      <c r="AB12" s="46" t="s">
        <v>97</v>
      </c>
      <c r="AC12" s="45">
        <v>810</v>
      </c>
      <c r="AD12" s="43" t="s">
        <v>97</v>
      </c>
      <c r="AE12" t="s">
        <v>195</v>
      </c>
      <c r="AF12" t="s">
        <v>196</v>
      </c>
      <c r="AG12" t="s">
        <v>126</v>
      </c>
    </row>
    <row r="13" spans="1:33" x14ac:dyDescent="0.25">
      <c r="A13" t="s">
        <v>63</v>
      </c>
      <c r="B13" t="s">
        <v>64</v>
      </c>
      <c r="C13" t="s">
        <v>65</v>
      </c>
      <c r="D13" t="s">
        <v>66</v>
      </c>
      <c r="E13" t="s">
        <v>34</v>
      </c>
      <c r="F13" t="s">
        <v>1248</v>
      </c>
      <c r="G13" t="s">
        <v>177</v>
      </c>
      <c r="H13">
        <v>3</v>
      </c>
      <c r="I13" s="41">
        <f t="shared" si="0"/>
        <v>38615000</v>
      </c>
      <c r="J13" s="42">
        <f>VLOOKUP(A13,'[12]CAPEX_AmpliAR_v3.1'!$A$6:$H$842,8,)</f>
        <v>13610000</v>
      </c>
      <c r="K13" s="42">
        <f>VLOOKUP(A13,'[12]CAPEX_AmpliAR_v3.1'!$A$6:$Q$842,9,)</f>
        <v>0</v>
      </c>
      <c r="L13" s="42">
        <f>VLOOKUP(A13,'[12]CAPEX_AmpliAR_v3.1'!$A$6:$Q$842,10,)</f>
        <v>985000</v>
      </c>
      <c r="M13" s="42">
        <f>VLOOKUP(A13,'[12]CAPEX_AmpliAR_v3.1'!$A$6:$Q$842,11,)</f>
        <v>2645000</v>
      </c>
      <c r="N13" s="42">
        <f>VLOOKUP(A13,'[12]CAPEX_AmpliAR_v3.1'!$A$6:$Q$842,12,)</f>
        <v>6350000</v>
      </c>
      <c r="O13" s="42">
        <v>0</v>
      </c>
      <c r="P13" s="42">
        <f>VLOOKUP(A13,'[12]CAPEX_AmpliAR_v3.1'!$A$6:$Q$842,14,)</f>
        <v>12170000</v>
      </c>
      <c r="Q13" s="42">
        <v>1375000</v>
      </c>
      <c r="R13" s="42">
        <v>0</v>
      </c>
      <c r="S13" s="42">
        <f>VLOOKUP(A13,'[12]CAPEX_AmpliAR_v3.1'!$A$6:$Q$842,16,)</f>
        <v>1460000</v>
      </c>
      <c r="T13" s="42">
        <f>VLOOKUP(A13,'[12]CAPEX_AmpliAR_v3.1'!$A$6:$Q$842,17,)</f>
        <v>20000</v>
      </c>
      <c r="U13" s="43" t="s">
        <v>183</v>
      </c>
      <c r="V13" s="47" t="s">
        <v>97</v>
      </c>
      <c r="W13" s="45">
        <v>14850</v>
      </c>
      <c r="X13" s="45">
        <v>3250</v>
      </c>
      <c r="Y13" s="45">
        <v>13589</v>
      </c>
      <c r="Z13" s="46" t="s">
        <v>97</v>
      </c>
      <c r="AA13" s="45">
        <v>1779</v>
      </c>
      <c r="AB13" s="46" t="s">
        <v>97</v>
      </c>
      <c r="AC13" s="45">
        <v>4725</v>
      </c>
      <c r="AD13" s="43" t="s">
        <v>97</v>
      </c>
      <c r="AE13" t="s">
        <v>219</v>
      </c>
      <c r="AF13" t="s">
        <v>220</v>
      </c>
      <c r="AG13" t="s">
        <v>126</v>
      </c>
    </row>
    <row r="14" spans="1:33" x14ac:dyDescent="0.25">
      <c r="A14" t="s">
        <v>157</v>
      </c>
      <c r="B14" t="s">
        <v>158</v>
      </c>
      <c r="C14" t="s">
        <v>159</v>
      </c>
      <c r="D14" t="s">
        <v>158</v>
      </c>
      <c r="E14" t="s">
        <v>31</v>
      </c>
      <c r="F14" t="s">
        <v>1248</v>
      </c>
      <c r="G14" t="s">
        <v>177</v>
      </c>
      <c r="H14">
        <v>0</v>
      </c>
      <c r="I14" s="41">
        <f t="shared" si="0"/>
        <v>4025000</v>
      </c>
      <c r="J14" s="42">
        <f>VLOOKUP(A14,'[12]CAPEX_AmpliAR_v3.1'!$A$6:$H$842,8,)</f>
        <v>0</v>
      </c>
      <c r="K14" s="42">
        <f>VLOOKUP(A14,'[12]CAPEX_AmpliAR_v3.1'!$A$6:$Q$842,9,)</f>
        <v>145000</v>
      </c>
      <c r="L14" s="42">
        <f>VLOOKUP(A14,'[12]CAPEX_AmpliAR_v3.1'!$A$6:$Q$842,10,)</f>
        <v>0</v>
      </c>
      <c r="M14" s="42">
        <f>VLOOKUP(A14,'[12]CAPEX_AmpliAR_v3.1'!$A$6:$Q$842,11,)</f>
        <v>0</v>
      </c>
      <c r="N14" s="42">
        <f>VLOOKUP(A14,'[12]CAPEX_AmpliAR_v3.1'!$A$6:$Q$842,12,)</f>
        <v>2725000</v>
      </c>
      <c r="O14" s="42">
        <v>0</v>
      </c>
      <c r="P14" s="42">
        <f>VLOOKUP(A14,'[12]CAPEX_AmpliAR_v3.1'!$A$6:$Q$842,14,)</f>
        <v>310000</v>
      </c>
      <c r="Q14" s="42">
        <v>600000</v>
      </c>
      <c r="R14" s="42">
        <v>0</v>
      </c>
      <c r="S14" s="42">
        <f>VLOOKUP(A14,'[12]CAPEX_AmpliAR_v3.1'!$A$6:$Q$842,16,)</f>
        <v>245000</v>
      </c>
      <c r="T14" s="42">
        <f>VLOOKUP(A14,'[12]CAPEX_AmpliAR_v3.1'!$A$6:$Q$842,17,)</f>
        <v>0</v>
      </c>
      <c r="U14" s="46" t="s">
        <v>97</v>
      </c>
      <c r="V14" s="44" t="s">
        <v>194</v>
      </c>
      <c r="W14" s="45" t="s">
        <v>97</v>
      </c>
      <c r="X14" s="48" t="s">
        <v>97</v>
      </c>
      <c r="Y14" s="45">
        <v>408</v>
      </c>
      <c r="Z14" s="46" t="s">
        <v>97</v>
      </c>
      <c r="AA14" s="45">
        <v>89</v>
      </c>
      <c r="AB14" s="46" t="s">
        <v>97</v>
      </c>
      <c r="AC14" s="45">
        <v>810</v>
      </c>
      <c r="AD14" s="46" t="s">
        <v>97</v>
      </c>
      <c r="AE14" t="s">
        <v>221</v>
      </c>
      <c r="AF14" t="s">
        <v>196</v>
      </c>
      <c r="AG14" t="s">
        <v>126</v>
      </c>
    </row>
    <row r="15" spans="1:33" x14ac:dyDescent="0.25">
      <c r="A15" t="s">
        <v>67</v>
      </c>
      <c r="B15" t="s">
        <v>68</v>
      </c>
      <c r="C15" t="s">
        <v>69</v>
      </c>
      <c r="D15" t="s">
        <v>70</v>
      </c>
      <c r="E15" t="s">
        <v>31</v>
      </c>
      <c r="F15" t="s">
        <v>1248</v>
      </c>
      <c r="G15" t="s">
        <v>177</v>
      </c>
      <c r="H15">
        <v>1</v>
      </c>
      <c r="I15" s="41">
        <f t="shared" si="0"/>
        <v>12580000</v>
      </c>
      <c r="J15" s="42">
        <f>VLOOKUP(A15,'[12]CAPEX_AmpliAR_v3.1'!$A$6:$H$842,8,)</f>
        <v>0</v>
      </c>
      <c r="K15" s="42">
        <f>VLOOKUP(A15,'[12]CAPEX_AmpliAR_v3.1'!$A$6:$Q$842,9,)</f>
        <v>330000</v>
      </c>
      <c r="L15" s="42">
        <f>VLOOKUP(A15,'[12]CAPEX_AmpliAR_v3.1'!$A$6:$Q$842,10,)</f>
        <v>0</v>
      </c>
      <c r="M15" s="42">
        <f>VLOOKUP(A15,'[12]CAPEX_AmpliAR_v3.1'!$A$6:$Q$842,11,)</f>
        <v>760000</v>
      </c>
      <c r="N15" s="42">
        <f>VLOOKUP(A15,'[12]CAPEX_AmpliAR_v3.1'!$A$6:$Q$842,12,)</f>
        <v>6165000</v>
      </c>
      <c r="O15" s="42">
        <v>0</v>
      </c>
      <c r="P15" s="42">
        <f>VLOOKUP(A15,'[12]CAPEX_AmpliAR_v3.1'!$A$6:$Q$842,14,)</f>
        <v>3480000</v>
      </c>
      <c r="Q15" s="42">
        <v>1375000</v>
      </c>
      <c r="R15" s="42">
        <v>0</v>
      </c>
      <c r="S15" s="42">
        <f>VLOOKUP(A15,'[12]CAPEX_AmpliAR_v3.1'!$A$6:$Q$842,16,)</f>
        <v>405000</v>
      </c>
      <c r="T15" s="42">
        <f>VLOOKUP(A15,'[12]CAPEX_AmpliAR_v3.1'!$A$6:$Q$842,17,)</f>
        <v>65000</v>
      </c>
      <c r="U15" s="46" t="s">
        <v>97</v>
      </c>
      <c r="V15" s="44" t="s">
        <v>179</v>
      </c>
      <c r="W15" s="45" t="s">
        <v>97</v>
      </c>
      <c r="X15" s="45">
        <v>1650</v>
      </c>
      <c r="Y15" s="45">
        <v>16225</v>
      </c>
      <c r="Z15" s="46" t="s">
        <v>97</v>
      </c>
      <c r="AA15" s="45">
        <v>1779.2</v>
      </c>
      <c r="AB15" s="46" t="s">
        <v>97</v>
      </c>
      <c r="AC15" s="45">
        <v>4275</v>
      </c>
      <c r="AD15" s="43" t="s">
        <v>97</v>
      </c>
      <c r="AE15" t="s">
        <v>222</v>
      </c>
      <c r="AF15" t="s">
        <v>220</v>
      </c>
      <c r="AG15" t="s">
        <v>126</v>
      </c>
    </row>
    <row r="16" spans="1:33" x14ac:dyDescent="0.25">
      <c r="A16" t="s">
        <v>128</v>
      </c>
      <c r="B16" t="s">
        <v>129</v>
      </c>
      <c r="C16" t="s">
        <v>208</v>
      </c>
      <c r="D16" t="s">
        <v>129</v>
      </c>
      <c r="E16" t="str">
        <f>VLOOKUP(A16,'[13]A25-M03-D17_CAPEX_AmpliAR'!$B$3:$F$950,5,)</f>
        <v>PA</v>
      </c>
      <c r="F16" t="s">
        <v>1252</v>
      </c>
      <c r="G16" t="s">
        <v>177</v>
      </c>
      <c r="H16">
        <v>3</v>
      </c>
      <c r="I16" s="41">
        <f t="shared" si="0"/>
        <v>44680000</v>
      </c>
      <c r="J16" s="42">
        <f>VLOOKUP(A16,'[12]CAPEX_AmpliAR_v3.1'!$A$6:$H$842,8,)</f>
        <v>16995000</v>
      </c>
      <c r="K16" s="42">
        <f>VLOOKUP(A16,'[12]CAPEX_AmpliAR_v3.1'!$A$6:$Q$842,9,)</f>
        <v>0</v>
      </c>
      <c r="L16" s="42">
        <f>VLOOKUP(A16,'[12]CAPEX_AmpliAR_v3.1'!$A$6:$Q$842,10,)</f>
        <v>1750000</v>
      </c>
      <c r="M16" s="42">
        <f>VLOOKUP(A16,'[12]CAPEX_AmpliAR_v3.1'!$A$6:$Q$842,11,)</f>
        <v>1450000</v>
      </c>
      <c r="N16" s="42">
        <f>VLOOKUP(A16,'[12]CAPEX_AmpliAR_v3.1'!$A$6:$Q$842,12,)</f>
        <v>12340000</v>
      </c>
      <c r="O16" s="42">
        <v>0</v>
      </c>
      <c r="P16" s="42">
        <f>VLOOKUP(A16,'[12]CAPEX_AmpliAR_v3.1'!$A$6:$Q$842,14,)</f>
        <v>8285000</v>
      </c>
      <c r="Q16" s="42">
        <v>2525000</v>
      </c>
      <c r="R16" s="42">
        <v>0</v>
      </c>
      <c r="S16" s="42">
        <f>VLOOKUP(A16,'[12]CAPEX_AmpliAR_v3.1'!$A$6:$Q$842,16,)</f>
        <v>1315000</v>
      </c>
      <c r="T16" s="42">
        <f>VLOOKUP(A16,'[12]CAPEX_AmpliAR_v3.1'!$A$6:$Q$842,17,)</f>
        <v>20000</v>
      </c>
      <c r="U16" s="43" t="s">
        <v>209</v>
      </c>
      <c r="V16" s="47" t="s">
        <v>97</v>
      </c>
      <c r="W16" s="45">
        <v>49040</v>
      </c>
      <c r="X16" s="48" t="s">
        <v>97</v>
      </c>
      <c r="Y16" s="45">
        <v>8035</v>
      </c>
      <c r="Z16" s="46" t="s">
        <v>97</v>
      </c>
      <c r="AA16" s="45">
        <v>1109.2</v>
      </c>
      <c r="AB16" s="46" t="s">
        <v>97</v>
      </c>
      <c r="AC16" s="45">
        <v>3761</v>
      </c>
      <c r="AD16" s="43" t="s">
        <v>97</v>
      </c>
      <c r="AE16" s="9" t="s">
        <v>210</v>
      </c>
      <c r="AF16" t="s">
        <v>211</v>
      </c>
      <c r="AG16" t="s">
        <v>127</v>
      </c>
    </row>
    <row r="17" spans="1:33" x14ac:dyDescent="0.25">
      <c r="A17" t="s">
        <v>71</v>
      </c>
      <c r="B17" t="s">
        <v>72</v>
      </c>
      <c r="C17" t="s">
        <v>197</v>
      </c>
      <c r="D17" t="s">
        <v>72</v>
      </c>
      <c r="E17" t="s">
        <v>25</v>
      </c>
      <c r="F17" t="s">
        <v>1250</v>
      </c>
      <c r="G17" t="s">
        <v>177</v>
      </c>
      <c r="H17">
        <v>3</v>
      </c>
      <c r="I17" s="41">
        <f t="shared" si="0"/>
        <v>8310000</v>
      </c>
      <c r="J17" s="42">
        <f>VLOOKUP(A17,'[12]CAPEX_AmpliAR_v3.1'!$A$6:$H$842,8,)</f>
        <v>0</v>
      </c>
      <c r="K17" s="42">
        <f>VLOOKUP(A17,'[12]CAPEX_AmpliAR_v3.1'!$A$6:$Q$842,9,)</f>
        <v>0</v>
      </c>
      <c r="L17" s="42">
        <f>VLOOKUP(A17,'[12]CAPEX_AmpliAR_v3.1'!$A$6:$Q$842,10,)</f>
        <v>0</v>
      </c>
      <c r="M17" s="42">
        <f>VLOOKUP(A17,'[12]CAPEX_AmpliAR_v3.1'!$A$6:$Q$842,11,)</f>
        <v>0</v>
      </c>
      <c r="N17" s="42">
        <f>VLOOKUP(A17,'[12]CAPEX_AmpliAR_v3.1'!$A$6:$Q$842,12,)</f>
        <v>4985000</v>
      </c>
      <c r="O17" s="42">
        <v>0</v>
      </c>
      <c r="P17" s="42">
        <f>VLOOKUP(A17,'[12]CAPEX_AmpliAR_v3.1'!$A$6:$Q$842,14,)</f>
        <v>3010000</v>
      </c>
      <c r="Q17" s="42">
        <v>0</v>
      </c>
      <c r="R17" s="42">
        <v>0</v>
      </c>
      <c r="S17" s="42">
        <f>VLOOKUP(A17,'[12]CAPEX_AmpliAR_v3.1'!$A$6:$Q$842,16,)</f>
        <v>315000</v>
      </c>
      <c r="T17" s="42">
        <f>VLOOKUP(A17,'[12]CAPEX_AmpliAR_v3.1'!$A$6:$Q$842,17,)</f>
        <v>0</v>
      </c>
      <c r="U17" s="46" t="s">
        <v>198</v>
      </c>
      <c r="V17" s="47" t="s">
        <v>97</v>
      </c>
      <c r="W17" s="45" t="s">
        <v>97</v>
      </c>
      <c r="X17" s="45">
        <v>1500</v>
      </c>
      <c r="Y17" s="45">
        <v>2650</v>
      </c>
      <c r="Z17" s="46" t="s">
        <v>97</v>
      </c>
      <c r="AA17" s="45">
        <v>79.2</v>
      </c>
      <c r="AB17" s="46" t="s">
        <v>97</v>
      </c>
      <c r="AC17" s="45">
        <v>925</v>
      </c>
      <c r="AD17" s="46" t="s">
        <v>97</v>
      </c>
      <c r="AE17" t="s">
        <v>199</v>
      </c>
      <c r="AF17" t="s">
        <v>200</v>
      </c>
      <c r="AG17" t="s">
        <v>127</v>
      </c>
    </row>
    <row r="18" spans="1:33" x14ac:dyDescent="0.25">
      <c r="A18" t="s">
        <v>130</v>
      </c>
      <c r="B18" t="s">
        <v>131</v>
      </c>
      <c r="C18" t="s">
        <v>136</v>
      </c>
      <c r="D18" t="s">
        <v>131</v>
      </c>
      <c r="E18" t="s">
        <v>26</v>
      </c>
      <c r="F18" t="s">
        <v>1248</v>
      </c>
      <c r="G18" t="s">
        <v>177</v>
      </c>
      <c r="H18">
        <v>3</v>
      </c>
      <c r="I18" s="41">
        <f t="shared" si="0"/>
        <v>21585000</v>
      </c>
      <c r="J18" s="42">
        <f>VLOOKUP(A18,'[12]CAPEX_AmpliAR_v3.1'!$A$6:$H$842,8,)</f>
        <v>4435000</v>
      </c>
      <c r="K18" s="42">
        <f>VLOOKUP(A18,'[12]CAPEX_AmpliAR_v3.1'!$A$6:$Q$842,9,)</f>
        <v>0</v>
      </c>
      <c r="L18" s="42">
        <f>VLOOKUP(A18,'[12]CAPEX_AmpliAR_v3.1'!$A$6:$Q$842,10,)</f>
        <v>2545000</v>
      </c>
      <c r="M18" s="42">
        <f>VLOOKUP(A18,'[12]CAPEX_AmpliAR_v3.1'!$A$6:$Q$842,11,)</f>
        <v>0</v>
      </c>
      <c r="N18" s="42">
        <f>VLOOKUP(A18,'[12]CAPEX_AmpliAR_v3.1'!$A$6:$Q$842,12,)</f>
        <v>4950000</v>
      </c>
      <c r="O18" s="42">
        <v>0</v>
      </c>
      <c r="P18" s="42">
        <f>VLOOKUP(A18,'[12]CAPEX_AmpliAR_v3.1'!$A$6:$Q$842,14,)</f>
        <v>6700000</v>
      </c>
      <c r="Q18" s="42">
        <v>1825000</v>
      </c>
      <c r="R18" s="42">
        <v>0</v>
      </c>
      <c r="S18" s="42">
        <f>VLOOKUP(A18,'[12]CAPEX_AmpliAR_v3.1'!$A$6:$Q$842,16,)</f>
        <v>835000</v>
      </c>
      <c r="T18" s="42">
        <f>VLOOKUP(A18,'[12]CAPEX_AmpliAR_v3.1'!$A$6:$Q$842,17,)</f>
        <v>295000</v>
      </c>
      <c r="U18" s="43" t="s">
        <v>223</v>
      </c>
      <c r="V18" s="44" t="s">
        <v>97</v>
      </c>
      <c r="W18" s="45">
        <v>44850</v>
      </c>
      <c r="X18" s="48" t="s">
        <v>97</v>
      </c>
      <c r="Y18" s="45">
        <v>6502</v>
      </c>
      <c r="Z18" s="46" t="s">
        <v>97</v>
      </c>
      <c r="AA18" s="45">
        <v>979</v>
      </c>
      <c r="AB18" s="46" t="s">
        <v>97</v>
      </c>
      <c r="AC18" s="45">
        <v>2625</v>
      </c>
      <c r="AD18" s="43" t="s">
        <v>97</v>
      </c>
      <c r="AE18" s="9" t="s">
        <v>224</v>
      </c>
      <c r="AF18" t="s">
        <v>225</v>
      </c>
      <c r="AG18" t="s">
        <v>126</v>
      </c>
    </row>
    <row r="19" spans="1:33" x14ac:dyDescent="0.25">
      <c r="A19" t="s">
        <v>43</v>
      </c>
      <c r="B19" t="s">
        <v>44</v>
      </c>
      <c r="C19" t="s">
        <v>212</v>
      </c>
      <c r="D19" t="s">
        <v>44</v>
      </c>
      <c r="E19" t="str">
        <f>VLOOKUP(A19,'[13]A25-M03-D17_CAPEX_AmpliAR'!$B$3:$F$950,5,)</f>
        <v>AM</v>
      </c>
      <c r="F19" t="s">
        <v>1253</v>
      </c>
      <c r="G19" t="s">
        <v>177</v>
      </c>
      <c r="H19">
        <v>1</v>
      </c>
      <c r="I19" s="41">
        <f t="shared" si="0"/>
        <v>15125000</v>
      </c>
      <c r="J19" s="42">
        <f>VLOOKUP(A19,'[12]CAPEX_AmpliAR_v3.1'!$A$6:$H$842,8,)</f>
        <v>0</v>
      </c>
      <c r="K19" s="42">
        <f>VLOOKUP(A19,'[12]CAPEX_AmpliAR_v3.1'!$A$6:$Q$842,9,)</f>
        <v>825000</v>
      </c>
      <c r="L19" s="42">
        <f>VLOOKUP(A19,'[12]CAPEX_AmpliAR_v3.1'!$A$6:$Q$842,10,)</f>
        <v>0</v>
      </c>
      <c r="M19" s="42">
        <f>VLOOKUP(A19,'[12]CAPEX_AmpliAR_v3.1'!$A$6:$Q$842,11,)</f>
        <v>1050000</v>
      </c>
      <c r="N19" s="42">
        <f>VLOOKUP(A19,'[12]CAPEX_AmpliAR_v3.1'!$A$6:$Q$842,12,)</f>
        <v>8070000</v>
      </c>
      <c r="O19" s="42">
        <v>0</v>
      </c>
      <c r="P19" s="42">
        <f>VLOOKUP(A19,'[12]CAPEX_AmpliAR_v3.1'!$A$6:$Q$842,14,)</f>
        <v>3800000</v>
      </c>
      <c r="Q19" s="42">
        <v>575000</v>
      </c>
      <c r="R19" s="42">
        <v>0</v>
      </c>
      <c r="S19" s="42">
        <f>VLOOKUP(A19,'[12]CAPEX_AmpliAR_v3.1'!$A$6:$Q$842,16,)</f>
        <v>540000</v>
      </c>
      <c r="T19" s="42">
        <f>VLOOKUP(A19,'[12]CAPEX_AmpliAR_v3.1'!$A$6:$Q$842,17,)</f>
        <v>265000</v>
      </c>
      <c r="U19" s="46" t="s">
        <v>97</v>
      </c>
      <c r="V19" s="44" t="s">
        <v>179</v>
      </c>
      <c r="W19" s="45" t="s">
        <v>97</v>
      </c>
      <c r="X19" s="45">
        <v>726</v>
      </c>
      <c r="Y19" s="45">
        <v>10379</v>
      </c>
      <c r="Z19" s="46" t="s">
        <v>97</v>
      </c>
      <c r="AA19" s="45">
        <v>508</v>
      </c>
      <c r="AB19" s="46" t="s">
        <v>97</v>
      </c>
      <c r="AC19" s="45">
        <v>1350</v>
      </c>
      <c r="AD19" s="43" t="s">
        <v>97</v>
      </c>
      <c r="AE19" t="s">
        <v>213</v>
      </c>
      <c r="AF19" t="s">
        <v>214</v>
      </c>
      <c r="AG19" t="s">
        <v>127</v>
      </c>
    </row>
    <row r="20" spans="1:33" x14ac:dyDescent="0.25">
      <c r="A20" t="s">
        <v>76</v>
      </c>
      <c r="B20" t="s">
        <v>77</v>
      </c>
      <c r="C20" t="s">
        <v>201</v>
      </c>
      <c r="D20" t="s">
        <v>77</v>
      </c>
      <c r="E20" t="s">
        <v>27</v>
      </c>
      <c r="F20" t="s">
        <v>1254</v>
      </c>
      <c r="G20" t="s">
        <v>177</v>
      </c>
      <c r="H20">
        <v>3</v>
      </c>
      <c r="I20" s="41">
        <f t="shared" si="0"/>
        <v>15785000</v>
      </c>
      <c r="J20" s="42">
        <f>VLOOKUP(A20,'[12]CAPEX_AmpliAR_v3.1'!$A$6:$H$842,8,)</f>
        <v>0</v>
      </c>
      <c r="K20" s="42">
        <f>VLOOKUP(A20,'[12]CAPEX_AmpliAR_v3.1'!$A$6:$Q$842,9,)</f>
        <v>0</v>
      </c>
      <c r="L20" s="42">
        <f>VLOOKUP(A20,'[12]CAPEX_AmpliAR_v3.1'!$A$6:$Q$842,10,)</f>
        <v>0</v>
      </c>
      <c r="M20" s="42">
        <f>VLOOKUP(A20,'[12]CAPEX_AmpliAR_v3.1'!$A$6:$Q$842,11,)</f>
        <v>0</v>
      </c>
      <c r="N20" s="42">
        <f>VLOOKUP(A20,'[12]CAPEX_AmpliAR_v3.1'!$A$6:$Q$842,12,)</f>
        <v>6515000</v>
      </c>
      <c r="O20" s="42">
        <v>0</v>
      </c>
      <c r="P20" s="42">
        <f>VLOOKUP(A20,'[12]CAPEX_AmpliAR_v3.1'!$A$6:$Q$842,14,)</f>
        <v>3035000</v>
      </c>
      <c r="Q20" s="42">
        <v>5150000</v>
      </c>
      <c r="R20" s="42">
        <v>0</v>
      </c>
      <c r="S20" s="42">
        <f>VLOOKUP(A20,'[12]CAPEX_AmpliAR_v3.1'!$A$6:$Q$842,16,)</f>
        <v>1085000</v>
      </c>
      <c r="T20" s="42">
        <f>VLOOKUP(A20,'[12]CAPEX_AmpliAR_v3.1'!$A$6:$Q$842,17,)</f>
        <v>0</v>
      </c>
      <c r="U20" s="46" t="s">
        <v>97</v>
      </c>
      <c r="V20" s="47" t="s">
        <v>97</v>
      </c>
      <c r="W20" s="45" t="s">
        <v>97</v>
      </c>
      <c r="X20" s="45" t="s">
        <v>97</v>
      </c>
      <c r="Y20" s="45">
        <v>3140</v>
      </c>
      <c r="Z20" s="46" t="s">
        <v>97</v>
      </c>
      <c r="AA20" s="45">
        <v>406.2</v>
      </c>
      <c r="AB20" s="46" t="s">
        <v>97</v>
      </c>
      <c r="AC20" s="45">
        <v>3575</v>
      </c>
      <c r="AD20" s="46" t="s">
        <v>97</v>
      </c>
      <c r="AE20" t="s">
        <v>199</v>
      </c>
      <c r="AF20" t="s">
        <v>202</v>
      </c>
      <c r="AG20" t="s">
        <v>1255</v>
      </c>
    </row>
    <row r="21" spans="1:33" x14ac:dyDescent="0.25">
      <c r="A21" t="s">
        <v>80</v>
      </c>
      <c r="B21" t="s">
        <v>81</v>
      </c>
      <c r="C21" t="s">
        <v>82</v>
      </c>
      <c r="D21" t="s">
        <v>83</v>
      </c>
      <c r="E21" t="s">
        <v>33</v>
      </c>
      <c r="F21" t="s">
        <v>1248</v>
      </c>
      <c r="G21" t="s">
        <v>177</v>
      </c>
      <c r="H21">
        <v>2</v>
      </c>
      <c r="I21" s="41">
        <f t="shared" si="0"/>
        <v>17985000</v>
      </c>
      <c r="J21" s="42">
        <f>VLOOKUP(A21,'[12]CAPEX_AmpliAR_v3.1'!$A$6:$H$842,8,)</f>
        <v>0</v>
      </c>
      <c r="K21" s="42">
        <f>VLOOKUP(A21,'[12]CAPEX_AmpliAR_v3.1'!$A$6:$Q$842,9,)</f>
        <v>825000</v>
      </c>
      <c r="L21" s="42">
        <f>VLOOKUP(A21,'[12]CAPEX_AmpliAR_v3.1'!$A$6:$Q$842,10,)</f>
        <v>0</v>
      </c>
      <c r="M21" s="42">
        <f>VLOOKUP(A21,'[12]CAPEX_AmpliAR_v3.1'!$A$6:$Q$842,11,)</f>
        <v>595000</v>
      </c>
      <c r="N21" s="42">
        <f>VLOOKUP(A21,'[12]CAPEX_AmpliAR_v3.1'!$A$6:$Q$842,12,)</f>
        <v>5255000</v>
      </c>
      <c r="O21" s="42">
        <v>0</v>
      </c>
      <c r="P21" s="42">
        <f>VLOOKUP(A21,'[12]CAPEX_AmpliAR_v3.1'!$A$6:$Q$842,14,)</f>
        <v>0</v>
      </c>
      <c r="Q21" s="42">
        <v>11300000</v>
      </c>
      <c r="R21" s="42">
        <v>0</v>
      </c>
      <c r="S21" s="42">
        <f>VLOOKUP(A21,'[12]CAPEX_AmpliAR_v3.1'!$A$6:$Q$842,16,)</f>
        <v>0</v>
      </c>
      <c r="T21" s="42">
        <f>VLOOKUP(A21,'[12]CAPEX_AmpliAR_v3.1'!$A$6:$Q$842,17,)</f>
        <v>10000</v>
      </c>
      <c r="U21" s="46" t="s">
        <v>97</v>
      </c>
      <c r="V21" s="44" t="s">
        <v>179</v>
      </c>
      <c r="W21" s="45" t="s">
        <v>97</v>
      </c>
      <c r="X21" s="45">
        <v>1269</v>
      </c>
      <c r="Y21" s="45">
        <v>7149</v>
      </c>
      <c r="Z21" s="46" t="s">
        <v>97</v>
      </c>
      <c r="AA21" s="45" t="s">
        <v>97</v>
      </c>
      <c r="AB21" s="46" t="s">
        <v>97</v>
      </c>
      <c r="AC21" s="45" t="s">
        <v>97</v>
      </c>
      <c r="AD21" s="43" t="s">
        <v>97</v>
      </c>
      <c r="AE21" t="s">
        <v>226</v>
      </c>
      <c r="AF21" t="s">
        <v>227</v>
      </c>
      <c r="AG21" t="s">
        <v>126</v>
      </c>
    </row>
    <row r="22" spans="1:33" x14ac:dyDescent="0.25">
      <c r="A22" t="s">
        <v>85</v>
      </c>
      <c r="B22" t="s">
        <v>86</v>
      </c>
      <c r="C22" t="s">
        <v>215</v>
      </c>
      <c r="D22" t="s">
        <v>86</v>
      </c>
      <c r="E22" t="str">
        <f>VLOOKUP(A22,'[13]A25-M03-D17_CAPEX_AmpliAR'!$B$3:$F$950,5,)</f>
        <v>AM</v>
      </c>
      <c r="F22" t="s">
        <v>1245</v>
      </c>
      <c r="G22" t="s">
        <v>177</v>
      </c>
      <c r="H22">
        <v>3</v>
      </c>
      <c r="I22" s="41">
        <f t="shared" si="0"/>
        <v>40780000</v>
      </c>
      <c r="J22" s="42">
        <f>VLOOKUP(A22,'[12]CAPEX_AmpliAR_v3.1'!$A$6:$H$842,8,)</f>
        <v>17590000</v>
      </c>
      <c r="K22" s="42">
        <f>VLOOKUP(A22,'[12]CAPEX_AmpliAR_v3.1'!$A$6:$Q$842,9,)</f>
        <v>825000</v>
      </c>
      <c r="L22" s="42">
        <f>VLOOKUP(A22,'[12]CAPEX_AmpliAR_v3.1'!$A$6:$Q$842,10,)</f>
        <v>0</v>
      </c>
      <c r="M22" s="42">
        <f>VLOOKUP(A22,'[12]CAPEX_AmpliAR_v3.1'!$A$6:$Q$842,11,)</f>
        <v>1195000</v>
      </c>
      <c r="N22" s="42">
        <f>VLOOKUP(A22,'[12]CAPEX_AmpliAR_v3.1'!$A$6:$Q$842,12,)</f>
        <v>9310000</v>
      </c>
      <c r="O22" s="42">
        <v>0</v>
      </c>
      <c r="P22" s="42">
        <f>VLOOKUP(A22,'[12]CAPEX_AmpliAR_v3.1'!$A$6:$Q$842,14,)</f>
        <v>6975000</v>
      </c>
      <c r="Q22" s="42">
        <v>3175000</v>
      </c>
      <c r="R22" s="42">
        <v>0</v>
      </c>
      <c r="S22" s="42">
        <f>VLOOKUP(A22,'[12]CAPEX_AmpliAR_v3.1'!$A$6:$Q$842,16,)</f>
        <v>1710000</v>
      </c>
      <c r="T22" s="42">
        <f>VLOOKUP(A22,'[12]CAPEX_AmpliAR_v3.1'!$A$6:$Q$842,17,)</f>
        <v>0</v>
      </c>
      <c r="U22" s="46" t="s">
        <v>198</v>
      </c>
      <c r="V22" s="44" t="s">
        <v>179</v>
      </c>
      <c r="W22" s="45" t="s">
        <v>97</v>
      </c>
      <c r="X22" s="45">
        <v>983.13</v>
      </c>
      <c r="Y22" s="45">
        <v>4515</v>
      </c>
      <c r="Z22" s="46" t="s">
        <v>97</v>
      </c>
      <c r="AA22" s="45">
        <v>933.78</v>
      </c>
      <c r="AB22" s="46" t="s">
        <v>97</v>
      </c>
      <c r="AC22" s="45">
        <v>4310</v>
      </c>
      <c r="AD22" s="46" t="s">
        <v>97</v>
      </c>
      <c r="AE22" t="s">
        <v>216</v>
      </c>
      <c r="AF22" t="s">
        <v>217</v>
      </c>
      <c r="AG22" t="s">
        <v>127</v>
      </c>
    </row>
    <row r="24" spans="1:33" x14ac:dyDescent="0.25">
      <c r="D24" s="5"/>
      <c r="E24" s="6"/>
      <c r="X24" s="49"/>
    </row>
    <row r="25" spans="1:33" x14ac:dyDescent="0.25">
      <c r="A25" s="23" t="s">
        <v>146</v>
      </c>
      <c r="D25" s="5"/>
      <c r="E25" s="6"/>
      <c r="I25" s="6"/>
      <c r="J25" s="67"/>
      <c r="K25" s="67"/>
    </row>
    <row r="26" spans="1:33" x14ac:dyDescent="0.25">
      <c r="D26" s="5"/>
      <c r="E26" s="6"/>
      <c r="J26" s="67"/>
      <c r="K26" s="67"/>
    </row>
    <row r="27" spans="1:33" x14ac:dyDescent="0.25">
      <c r="D27" s="5"/>
      <c r="E27" s="6"/>
      <c r="J27" s="67"/>
      <c r="K27" s="67"/>
    </row>
    <row r="28" spans="1:33" x14ac:dyDescent="0.25">
      <c r="D28" s="5"/>
      <c r="E28" s="6"/>
      <c r="I28" s="6"/>
      <c r="J28" s="67"/>
      <c r="K28" s="67"/>
    </row>
    <row r="29" spans="1:33" x14ac:dyDescent="0.25">
      <c r="D29" s="5"/>
      <c r="E29" s="6"/>
      <c r="I29" s="6"/>
      <c r="J29" s="67"/>
      <c r="K29" s="67"/>
    </row>
    <row r="30" spans="1:33" x14ac:dyDescent="0.25">
      <c r="D30" s="5"/>
      <c r="E30" s="6"/>
      <c r="J30" s="67"/>
      <c r="K30" s="67"/>
    </row>
    <row r="31" spans="1:33" x14ac:dyDescent="0.25">
      <c r="D31" s="5"/>
      <c r="E31" s="6"/>
      <c r="I31" s="6"/>
      <c r="J31" s="67"/>
      <c r="K31" s="67"/>
    </row>
    <row r="32" spans="1:33" x14ac:dyDescent="0.25">
      <c r="D32" s="5"/>
      <c r="E32" s="6"/>
      <c r="J32" s="67"/>
      <c r="K32" s="67"/>
    </row>
    <row r="33" spans="4:11" x14ac:dyDescent="0.25">
      <c r="D33" s="5"/>
      <c r="E33" s="6"/>
      <c r="I33" s="6"/>
      <c r="J33" s="67"/>
      <c r="K33" s="67"/>
    </row>
    <row r="34" spans="4:11" x14ac:dyDescent="0.25">
      <c r="D34" s="5"/>
      <c r="E34" s="6"/>
      <c r="I34" s="6"/>
      <c r="J34" s="67"/>
      <c r="K34" s="67"/>
    </row>
    <row r="35" spans="4:11" x14ac:dyDescent="0.25">
      <c r="D35" s="5"/>
      <c r="E35" s="6"/>
      <c r="I35" s="6"/>
      <c r="J35" s="67"/>
      <c r="K35" s="67"/>
    </row>
    <row r="36" spans="4:11" x14ac:dyDescent="0.25">
      <c r="D36" s="5"/>
      <c r="E36" s="6"/>
      <c r="I36" s="6"/>
      <c r="J36" s="67"/>
      <c r="K36" s="67"/>
    </row>
    <row r="37" spans="4:11" x14ac:dyDescent="0.25">
      <c r="D37" s="5"/>
      <c r="E37" s="6"/>
      <c r="I37" s="6"/>
      <c r="J37" s="67"/>
      <c r="K37" s="67"/>
    </row>
    <row r="38" spans="4:11" x14ac:dyDescent="0.25">
      <c r="D38" s="5"/>
      <c r="E38" s="6"/>
      <c r="J38" s="67"/>
      <c r="K38" s="67"/>
    </row>
    <row r="39" spans="4:11" x14ac:dyDescent="0.25">
      <c r="D39" s="5"/>
      <c r="E39" s="6"/>
      <c r="J39" s="67"/>
      <c r="K39" s="67"/>
    </row>
    <row r="40" spans="4:11" x14ac:dyDescent="0.25">
      <c r="D40" s="5"/>
      <c r="E40" s="6"/>
      <c r="I40" s="6"/>
      <c r="J40" s="67"/>
      <c r="K40" s="67"/>
    </row>
    <row r="41" spans="4:11" x14ac:dyDescent="0.25">
      <c r="D41" s="5"/>
      <c r="E41" s="6"/>
      <c r="J41" s="67"/>
      <c r="K41" s="67"/>
    </row>
    <row r="42" spans="4:11" x14ac:dyDescent="0.25">
      <c r="D42" s="5"/>
      <c r="J42" s="67"/>
      <c r="K42" s="67"/>
    </row>
    <row r="43" spans="4:11" x14ac:dyDescent="0.25">
      <c r="D43" s="5"/>
      <c r="I43" s="6"/>
      <c r="J43" s="67"/>
      <c r="K43" s="67"/>
    </row>
    <row r="44" spans="4:11" x14ac:dyDescent="0.25">
      <c r="J44" s="67"/>
      <c r="K44" s="67"/>
    </row>
  </sheetData>
  <autoFilter ref="A2:AE22" xr:uid="{00000000-0009-0000-0000-000000000000}">
    <sortState xmlns:xlrd2="http://schemas.microsoft.com/office/spreadsheetml/2017/richdata2" ref="A3:AD22">
      <sortCondition ref="A2"/>
    </sortState>
  </autoFilter>
  <hyperlinks>
    <hyperlink ref="A25" location="Introdução!A1" display="Introdução!A1" xr:uid="{579E11CA-BF4F-4868-B80B-5137A3242116}"/>
  </hyperlinks>
  <pageMargins left="0.511811024" right="0.511811024" top="0.78740157499999996" bottom="0.78740157499999996" header="0.31496062000000002" footer="0.3149606200000000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4C5F5-9000-40C8-B037-4301E37D2366}">
  <sheetPr codeName="Planilha21">
    <tabColor rgb="FF92D050"/>
  </sheetPr>
  <dimension ref="A1:CX26"/>
  <sheetViews>
    <sheetView topLeftCell="CD1" workbookViewId="0">
      <selection activeCell="CX3" sqref="CX3:CX22"/>
    </sheetView>
  </sheetViews>
  <sheetFormatPr defaultRowHeight="15" x14ac:dyDescent="0.25"/>
  <cols>
    <col min="1" max="1" width="13.7109375" bestFit="1" customWidth="1"/>
    <col min="2" max="2" width="14.28515625" bestFit="1" customWidth="1"/>
    <col min="3" max="3" width="8" bestFit="1" customWidth="1"/>
    <col min="4" max="4" width="9.42578125" bestFit="1" customWidth="1"/>
    <col min="5" max="6" width="11.7109375" bestFit="1" customWidth="1"/>
    <col min="7" max="7" width="12.42578125" bestFit="1" customWidth="1"/>
    <col min="8" max="8" width="27.5703125" bestFit="1" customWidth="1"/>
    <col min="9" max="10" width="11.7109375" bestFit="1" customWidth="1"/>
    <col min="11" max="11" width="12.42578125" bestFit="1" customWidth="1"/>
    <col min="12" max="12" width="27.5703125" bestFit="1" customWidth="1"/>
    <col min="13" max="14" width="11.7109375" bestFit="1" customWidth="1"/>
    <col min="15" max="15" width="12.42578125" bestFit="1" customWidth="1"/>
    <col min="16" max="16" width="27.5703125" bestFit="1" customWidth="1"/>
    <col min="17" max="18" width="11.7109375" bestFit="1" customWidth="1"/>
    <col min="19" max="19" width="12.42578125" bestFit="1" customWidth="1"/>
    <col min="20" max="21" width="11.7109375" bestFit="1" customWidth="1"/>
    <col min="22" max="22" width="12.42578125" bestFit="1" customWidth="1"/>
    <col min="23" max="24" width="11.7109375" bestFit="1" customWidth="1"/>
    <col min="25" max="25" width="12.42578125" bestFit="1" customWidth="1"/>
    <col min="26" max="27" width="11.7109375" bestFit="1" customWidth="1"/>
    <col min="28" max="28" width="12.42578125" bestFit="1" customWidth="1"/>
    <col min="29" max="30" width="11.7109375" bestFit="1" customWidth="1"/>
    <col min="31" max="31" width="12.42578125" bestFit="1" customWidth="1"/>
    <col min="32" max="33" width="11.7109375" bestFit="1" customWidth="1"/>
    <col min="34" max="34" width="12.42578125" bestFit="1" customWidth="1"/>
    <col min="35" max="35" width="12.7109375" bestFit="1" customWidth="1"/>
    <col min="36" max="36" width="11.7109375" bestFit="1" customWidth="1"/>
    <col min="37" max="37" width="12.42578125" bestFit="1" customWidth="1"/>
    <col min="38" max="38" width="12.7109375" bestFit="1" customWidth="1"/>
    <col min="39" max="39" width="11.7109375" bestFit="1" customWidth="1"/>
    <col min="40" max="40" width="12.42578125" bestFit="1" customWidth="1"/>
    <col min="41" max="41" width="12.7109375" bestFit="1" customWidth="1"/>
    <col min="42" max="42" width="11.7109375" bestFit="1" customWidth="1"/>
    <col min="43" max="43" width="12.42578125" bestFit="1" customWidth="1"/>
    <col min="44" max="44" width="12.7109375" bestFit="1" customWidth="1"/>
    <col min="45" max="45" width="11.7109375" bestFit="1" customWidth="1"/>
    <col min="46" max="46" width="12.42578125" bestFit="1" customWidth="1"/>
    <col min="47" max="47" width="12.7109375" bestFit="1" customWidth="1"/>
    <col min="48" max="48" width="11.7109375" bestFit="1" customWidth="1"/>
    <col min="49" max="49" width="12.42578125" bestFit="1" customWidth="1"/>
    <col min="50" max="50" width="12.7109375" bestFit="1" customWidth="1"/>
    <col min="51" max="51" width="11.7109375" bestFit="1" customWidth="1"/>
    <col min="52" max="52" width="12.42578125" bestFit="1" customWidth="1"/>
    <col min="53" max="53" width="12.7109375" bestFit="1" customWidth="1"/>
    <col min="54" max="54" width="11.7109375" bestFit="1" customWidth="1"/>
    <col min="55" max="55" width="12.42578125" bestFit="1" customWidth="1"/>
    <col min="56" max="56" width="12.7109375" bestFit="1" customWidth="1"/>
    <col min="57" max="57" width="11.7109375" bestFit="1" customWidth="1"/>
    <col min="58" max="58" width="12.42578125" bestFit="1" customWidth="1"/>
    <col min="59" max="59" width="12.7109375" bestFit="1" customWidth="1"/>
    <col min="60" max="60" width="11.7109375" bestFit="1" customWidth="1"/>
    <col min="61" max="61" width="12.42578125" bestFit="1" customWidth="1"/>
    <col min="62" max="62" width="12.7109375" bestFit="1" customWidth="1"/>
    <col min="63" max="63" width="11.7109375" bestFit="1" customWidth="1"/>
    <col min="64" max="64" width="12.42578125" bestFit="1" customWidth="1"/>
    <col min="65" max="65" width="12.7109375" bestFit="1" customWidth="1"/>
    <col min="66" max="66" width="11.7109375" bestFit="1" customWidth="1"/>
    <col min="67" max="67" width="12.42578125" bestFit="1" customWidth="1"/>
    <col min="68" max="68" width="12.7109375" bestFit="1" customWidth="1"/>
    <col min="69" max="69" width="11.7109375" bestFit="1" customWidth="1"/>
    <col min="70" max="70" width="12.42578125" bestFit="1" customWidth="1"/>
    <col min="71" max="71" width="12.7109375" bestFit="1" customWidth="1"/>
    <col min="72" max="72" width="11.7109375" bestFit="1" customWidth="1"/>
    <col min="73" max="73" width="12.42578125" bestFit="1" customWidth="1"/>
    <col min="74" max="74" width="12.7109375" bestFit="1" customWidth="1"/>
    <col min="75" max="75" width="11.7109375" bestFit="1" customWidth="1"/>
    <col min="76" max="76" width="12.42578125" bestFit="1" customWidth="1"/>
    <col min="77" max="77" width="12.7109375" bestFit="1" customWidth="1"/>
    <col min="78" max="78" width="11.7109375" bestFit="1" customWidth="1"/>
    <col min="79" max="79" width="12.42578125" bestFit="1" customWidth="1"/>
    <col min="80" max="80" width="12.7109375" bestFit="1" customWidth="1"/>
    <col min="81" max="81" width="11.7109375" bestFit="1" customWidth="1"/>
    <col min="82" max="82" width="12.42578125" bestFit="1" customWidth="1"/>
    <col min="83" max="83" width="12.7109375" bestFit="1" customWidth="1"/>
    <col min="84" max="84" width="11.7109375" bestFit="1" customWidth="1"/>
    <col min="85" max="85" width="12.42578125" bestFit="1" customWidth="1"/>
    <col min="86" max="86" width="12.7109375" bestFit="1" customWidth="1"/>
    <col min="87" max="87" width="11.7109375" bestFit="1" customWidth="1"/>
    <col min="88" max="88" width="12.42578125" bestFit="1" customWidth="1"/>
    <col min="89" max="89" width="12.7109375" bestFit="1" customWidth="1"/>
    <col min="90" max="90" width="11.7109375" bestFit="1" customWidth="1"/>
    <col min="91" max="91" width="12.42578125" bestFit="1" customWidth="1"/>
    <col min="92" max="92" width="12.7109375" bestFit="1" customWidth="1"/>
    <col min="93" max="93" width="11.7109375" bestFit="1" customWidth="1"/>
    <col min="94" max="94" width="12.42578125" bestFit="1" customWidth="1"/>
    <col min="95" max="95" width="12.7109375" bestFit="1" customWidth="1"/>
    <col min="96" max="96" width="11.7109375" bestFit="1" customWidth="1"/>
    <col min="97" max="97" width="12.42578125" bestFit="1" customWidth="1"/>
    <col min="98" max="98" width="12.7109375" bestFit="1" customWidth="1"/>
    <col min="99" max="99" width="11.7109375" bestFit="1" customWidth="1"/>
    <col min="100" max="100" width="12.42578125" bestFit="1" customWidth="1"/>
    <col min="101" max="101" width="14.7109375" bestFit="1" customWidth="1"/>
    <col min="102" max="102" width="13.85546875" bestFit="1" customWidth="1"/>
  </cols>
  <sheetData>
    <row r="1" spans="1:102" x14ac:dyDescent="0.25">
      <c r="E1">
        <v>2025</v>
      </c>
      <c r="F1">
        <v>2025</v>
      </c>
      <c r="G1">
        <v>2025</v>
      </c>
      <c r="H1">
        <v>2025</v>
      </c>
      <c r="I1">
        <v>2026</v>
      </c>
      <c r="J1">
        <v>2026</v>
      </c>
      <c r="K1">
        <v>2026</v>
      </c>
      <c r="L1">
        <v>2026</v>
      </c>
      <c r="M1">
        <v>2027</v>
      </c>
      <c r="N1">
        <v>2027</v>
      </c>
      <c r="O1">
        <v>2027</v>
      </c>
      <c r="P1">
        <v>2027</v>
      </c>
      <c r="Q1">
        <v>2028</v>
      </c>
      <c r="R1">
        <v>2028</v>
      </c>
      <c r="S1">
        <v>2028</v>
      </c>
      <c r="T1">
        <v>2029</v>
      </c>
      <c r="U1">
        <v>2029</v>
      </c>
      <c r="V1">
        <v>2029</v>
      </c>
      <c r="W1">
        <v>2030</v>
      </c>
      <c r="X1">
        <v>2030</v>
      </c>
      <c r="Y1">
        <v>2030</v>
      </c>
      <c r="Z1">
        <v>2031</v>
      </c>
      <c r="AA1">
        <v>2031</v>
      </c>
      <c r="AB1">
        <v>2031</v>
      </c>
      <c r="AC1">
        <v>2032</v>
      </c>
      <c r="AD1">
        <v>2032</v>
      </c>
      <c r="AE1">
        <v>2032</v>
      </c>
      <c r="AF1">
        <v>2033</v>
      </c>
      <c r="AG1">
        <v>2033</v>
      </c>
      <c r="AH1">
        <v>2033</v>
      </c>
      <c r="AI1">
        <v>2034</v>
      </c>
      <c r="AJ1">
        <v>2034</v>
      </c>
      <c r="AK1">
        <v>2034</v>
      </c>
      <c r="AL1">
        <v>2035</v>
      </c>
      <c r="AM1">
        <v>2035</v>
      </c>
      <c r="AN1">
        <v>2035</v>
      </c>
      <c r="AO1">
        <v>2036</v>
      </c>
      <c r="AP1">
        <v>2036</v>
      </c>
      <c r="AQ1">
        <v>2036</v>
      </c>
      <c r="AR1">
        <v>2037</v>
      </c>
      <c r="AS1">
        <v>2037</v>
      </c>
      <c r="AT1">
        <v>2037</v>
      </c>
      <c r="AU1">
        <v>2038</v>
      </c>
      <c r="AV1">
        <v>2038</v>
      </c>
      <c r="AW1">
        <v>2038</v>
      </c>
      <c r="AX1">
        <v>2039</v>
      </c>
      <c r="AY1">
        <v>2039</v>
      </c>
      <c r="AZ1">
        <v>2039</v>
      </c>
      <c r="BA1">
        <v>2040</v>
      </c>
      <c r="BB1">
        <v>2040</v>
      </c>
      <c r="BC1">
        <v>2040</v>
      </c>
      <c r="BD1">
        <v>2041</v>
      </c>
      <c r="BE1">
        <v>2041</v>
      </c>
      <c r="BF1">
        <v>2041</v>
      </c>
      <c r="BG1">
        <v>2042</v>
      </c>
      <c r="BH1">
        <v>2042</v>
      </c>
      <c r="BI1">
        <v>2042</v>
      </c>
      <c r="BJ1">
        <v>2043</v>
      </c>
      <c r="BK1">
        <v>2043</v>
      </c>
      <c r="BL1">
        <v>2043</v>
      </c>
      <c r="BM1">
        <v>2044</v>
      </c>
      <c r="BN1">
        <v>2044</v>
      </c>
      <c r="BO1">
        <v>2044</v>
      </c>
      <c r="BP1">
        <v>2045</v>
      </c>
      <c r="BQ1">
        <v>2045</v>
      </c>
      <c r="BR1">
        <v>2045</v>
      </c>
      <c r="BS1">
        <v>2046</v>
      </c>
      <c r="BT1">
        <v>2046</v>
      </c>
      <c r="BU1">
        <v>2046</v>
      </c>
      <c r="BV1">
        <v>2047</v>
      </c>
      <c r="BW1">
        <v>2047</v>
      </c>
      <c r="BX1">
        <v>2047</v>
      </c>
      <c r="BY1">
        <v>2048</v>
      </c>
      <c r="BZ1">
        <v>2048</v>
      </c>
      <c r="CA1">
        <v>2048</v>
      </c>
      <c r="CB1">
        <v>2049</v>
      </c>
      <c r="CC1">
        <v>2049</v>
      </c>
      <c r="CD1">
        <v>2049</v>
      </c>
      <c r="CE1">
        <v>2050</v>
      </c>
      <c r="CF1">
        <v>2050</v>
      </c>
      <c r="CG1">
        <v>2050</v>
      </c>
      <c r="CH1">
        <v>2051</v>
      </c>
      <c r="CI1">
        <v>2051</v>
      </c>
      <c r="CJ1">
        <v>2051</v>
      </c>
      <c r="CK1">
        <v>2052</v>
      </c>
      <c r="CL1">
        <v>2052</v>
      </c>
      <c r="CM1">
        <v>2052</v>
      </c>
      <c r="CN1">
        <v>2053</v>
      </c>
      <c r="CO1">
        <v>2053</v>
      </c>
      <c r="CP1">
        <v>2053</v>
      </c>
      <c r="CQ1">
        <v>2054</v>
      </c>
      <c r="CR1">
        <v>2054</v>
      </c>
      <c r="CS1">
        <v>2054</v>
      </c>
      <c r="CT1">
        <v>2055</v>
      </c>
      <c r="CU1">
        <v>2055</v>
      </c>
      <c r="CV1">
        <v>2055</v>
      </c>
    </row>
    <row r="2" spans="1:102" x14ac:dyDescent="0.25">
      <c r="A2" t="s">
        <v>0</v>
      </c>
      <c r="B2" t="s">
        <v>228</v>
      </c>
      <c r="C2" t="s">
        <v>229</v>
      </c>
      <c r="D2" t="s">
        <v>346</v>
      </c>
      <c r="E2" t="s">
        <v>103</v>
      </c>
      <c r="F2" t="s">
        <v>104</v>
      </c>
      <c r="G2" t="s">
        <v>105</v>
      </c>
      <c r="H2" s="50" t="s">
        <v>230</v>
      </c>
      <c r="I2" t="s">
        <v>103</v>
      </c>
      <c r="J2" t="s">
        <v>104</v>
      </c>
      <c r="K2" t="s">
        <v>105</v>
      </c>
      <c r="L2" s="50" t="s">
        <v>230</v>
      </c>
      <c r="M2" t="s">
        <v>103</v>
      </c>
      <c r="N2" t="s">
        <v>104</v>
      </c>
      <c r="O2" t="s">
        <v>105</v>
      </c>
      <c r="P2" s="50" t="s">
        <v>230</v>
      </c>
      <c r="Q2" t="s">
        <v>103</v>
      </c>
      <c r="R2" t="s">
        <v>104</v>
      </c>
      <c r="S2" t="s">
        <v>105</v>
      </c>
      <c r="T2" t="s">
        <v>103</v>
      </c>
      <c r="U2" t="s">
        <v>104</v>
      </c>
      <c r="V2" t="s">
        <v>105</v>
      </c>
      <c r="W2" t="s">
        <v>103</v>
      </c>
      <c r="X2" t="s">
        <v>104</v>
      </c>
      <c r="Y2" t="s">
        <v>105</v>
      </c>
      <c r="Z2" t="s">
        <v>103</v>
      </c>
      <c r="AA2" t="s">
        <v>104</v>
      </c>
      <c r="AB2" t="s">
        <v>105</v>
      </c>
      <c r="AC2" t="s">
        <v>103</v>
      </c>
      <c r="AD2" t="s">
        <v>104</v>
      </c>
      <c r="AE2" t="s">
        <v>105</v>
      </c>
      <c r="AF2" t="s">
        <v>103</v>
      </c>
      <c r="AG2" t="s">
        <v>104</v>
      </c>
      <c r="AH2" t="s">
        <v>105</v>
      </c>
      <c r="AI2" t="s">
        <v>103</v>
      </c>
      <c r="AJ2" t="s">
        <v>104</v>
      </c>
      <c r="AK2" t="s">
        <v>105</v>
      </c>
      <c r="AL2" t="s">
        <v>103</v>
      </c>
      <c r="AM2" t="s">
        <v>104</v>
      </c>
      <c r="AN2" t="s">
        <v>105</v>
      </c>
      <c r="AO2" t="s">
        <v>103</v>
      </c>
      <c r="AP2" t="s">
        <v>104</v>
      </c>
      <c r="AQ2" t="s">
        <v>105</v>
      </c>
      <c r="AR2" t="s">
        <v>103</v>
      </c>
      <c r="AS2" t="s">
        <v>104</v>
      </c>
      <c r="AT2" t="s">
        <v>105</v>
      </c>
      <c r="AU2" t="s">
        <v>103</v>
      </c>
      <c r="AV2" t="s">
        <v>104</v>
      </c>
      <c r="AW2" t="s">
        <v>105</v>
      </c>
      <c r="AX2" t="s">
        <v>103</v>
      </c>
      <c r="AY2" t="s">
        <v>104</v>
      </c>
      <c r="AZ2" t="s">
        <v>105</v>
      </c>
      <c r="BA2" t="s">
        <v>103</v>
      </c>
      <c r="BB2" t="s">
        <v>104</v>
      </c>
      <c r="BC2" t="s">
        <v>105</v>
      </c>
      <c r="BD2" t="s">
        <v>103</v>
      </c>
      <c r="BE2" t="s">
        <v>104</v>
      </c>
      <c r="BF2" t="s">
        <v>105</v>
      </c>
      <c r="BG2" t="s">
        <v>103</v>
      </c>
      <c r="BH2" t="s">
        <v>104</v>
      </c>
      <c r="BI2" t="s">
        <v>105</v>
      </c>
      <c r="BJ2" t="s">
        <v>103</v>
      </c>
      <c r="BK2" t="s">
        <v>104</v>
      </c>
      <c r="BL2" t="s">
        <v>105</v>
      </c>
      <c r="BM2" t="s">
        <v>103</v>
      </c>
      <c r="BN2" t="s">
        <v>104</v>
      </c>
      <c r="BO2" t="s">
        <v>105</v>
      </c>
      <c r="BP2" t="s">
        <v>103</v>
      </c>
      <c r="BQ2" t="s">
        <v>104</v>
      </c>
      <c r="BR2" t="s">
        <v>105</v>
      </c>
      <c r="BS2" t="s">
        <v>103</v>
      </c>
      <c r="BT2" t="s">
        <v>104</v>
      </c>
      <c r="BU2" t="s">
        <v>105</v>
      </c>
      <c r="BV2" t="s">
        <v>103</v>
      </c>
      <c r="BW2" t="s">
        <v>104</v>
      </c>
      <c r="BX2" t="s">
        <v>105</v>
      </c>
      <c r="BY2" t="s">
        <v>103</v>
      </c>
      <c r="BZ2" t="s">
        <v>104</v>
      </c>
      <c r="CA2" t="s">
        <v>105</v>
      </c>
      <c r="CB2" t="s">
        <v>103</v>
      </c>
      <c r="CC2" t="s">
        <v>104</v>
      </c>
      <c r="CD2" t="s">
        <v>105</v>
      </c>
      <c r="CE2" t="s">
        <v>103</v>
      </c>
      <c r="CF2" t="s">
        <v>104</v>
      </c>
      <c r="CG2" t="s">
        <v>105</v>
      </c>
      <c r="CH2" t="s">
        <v>103</v>
      </c>
      <c r="CI2" t="s">
        <v>104</v>
      </c>
      <c r="CJ2" t="s">
        <v>105</v>
      </c>
      <c r="CK2" t="s">
        <v>103</v>
      </c>
      <c r="CL2" t="s">
        <v>104</v>
      </c>
      <c r="CM2" t="s">
        <v>105</v>
      </c>
      <c r="CN2" t="s">
        <v>103</v>
      </c>
      <c r="CO2" t="s">
        <v>104</v>
      </c>
      <c r="CP2" t="s">
        <v>105</v>
      </c>
      <c r="CQ2" t="s">
        <v>103</v>
      </c>
      <c r="CR2" t="s">
        <v>104</v>
      </c>
      <c r="CS2" t="s">
        <v>105</v>
      </c>
      <c r="CT2" t="s">
        <v>103</v>
      </c>
      <c r="CU2" t="s">
        <v>104</v>
      </c>
      <c r="CV2" t="s">
        <v>105</v>
      </c>
      <c r="CW2" s="32" t="s">
        <v>121</v>
      </c>
    </row>
    <row r="3" spans="1:102" x14ac:dyDescent="0.25">
      <c r="A3" t="s">
        <v>317</v>
      </c>
      <c r="B3">
        <v>2025</v>
      </c>
      <c r="C3" s="62">
        <v>3</v>
      </c>
      <c r="D3" t="s">
        <v>347</v>
      </c>
      <c r="E3" s="42">
        <v>790928.49690000003</v>
      </c>
      <c r="F3" s="42">
        <v>5743125.3203999996</v>
      </c>
      <c r="G3" s="42">
        <v>-4952196.8234999999</v>
      </c>
      <c r="H3" s="51">
        <v>-5347661.0719499998</v>
      </c>
      <c r="I3" s="42">
        <v>836970.25800000003</v>
      </c>
      <c r="J3" s="42">
        <v>5747038.8700000001</v>
      </c>
      <c r="K3" s="42">
        <v>-4910068.6120999996</v>
      </c>
      <c r="L3" s="51">
        <v>-5328553.7410000004</v>
      </c>
      <c r="M3" s="42">
        <v>875802.19669999997</v>
      </c>
      <c r="N3" s="42">
        <v>5750339.5848000003</v>
      </c>
      <c r="O3" s="42">
        <v>-4874537.3881999999</v>
      </c>
      <c r="P3" s="51">
        <v>-5312438.4864500007</v>
      </c>
      <c r="Q3" s="42">
        <v>911798.01520000002</v>
      </c>
      <c r="R3" s="42">
        <v>5753399.2293999996</v>
      </c>
      <c r="S3" s="51">
        <v>-4841601.2142000003</v>
      </c>
      <c r="T3" s="42">
        <v>945240.03830000001</v>
      </c>
      <c r="U3" s="42">
        <v>5756241.8014000002</v>
      </c>
      <c r="V3" s="51">
        <v>-4811001.7631000001</v>
      </c>
      <c r="W3" s="42">
        <v>977300.10919999995</v>
      </c>
      <c r="X3" s="42">
        <v>5758966.9073999999</v>
      </c>
      <c r="Y3" s="51">
        <v>-4781666.7982000001</v>
      </c>
      <c r="Z3" s="42">
        <v>1007326.6091</v>
      </c>
      <c r="AA3" s="42">
        <v>5761519.1599000003</v>
      </c>
      <c r="AB3" s="51">
        <v>-4754192.5508000003</v>
      </c>
      <c r="AC3" s="42">
        <v>1034930.1359</v>
      </c>
      <c r="AD3" s="42">
        <v>5763865.4596999995</v>
      </c>
      <c r="AE3" s="51">
        <v>-4728935.3238000004</v>
      </c>
      <c r="AF3" s="42">
        <v>1060489.5471999999</v>
      </c>
      <c r="AG3" s="42">
        <v>5766038.0096000005</v>
      </c>
      <c r="AH3" s="51">
        <v>-4705548.4623999996</v>
      </c>
      <c r="AI3" s="42">
        <v>1085876.9401</v>
      </c>
      <c r="AJ3" s="42">
        <v>5768195.9380000001</v>
      </c>
      <c r="AK3" s="51">
        <v>-4682318.9978999998</v>
      </c>
      <c r="AL3" s="42">
        <v>1111116.5907000001</v>
      </c>
      <c r="AM3" s="42">
        <v>5770341.3082999997</v>
      </c>
      <c r="AN3" s="51">
        <v>-4659224.7176999999</v>
      </c>
      <c r="AO3" s="42">
        <v>1136794.1958000001</v>
      </c>
      <c r="AP3" s="42">
        <v>5772523.9047999997</v>
      </c>
      <c r="AQ3" s="51">
        <v>-4635729.7089</v>
      </c>
      <c r="AR3" s="42">
        <v>1162092.9432999999</v>
      </c>
      <c r="AS3" s="42">
        <v>5774674.2982999999</v>
      </c>
      <c r="AT3" s="51">
        <v>-4612581.3550000004</v>
      </c>
      <c r="AU3" s="42">
        <v>1187534.1609</v>
      </c>
      <c r="AV3" s="42">
        <v>5776836.8017999995</v>
      </c>
      <c r="AW3" s="51">
        <v>-4589302.6409</v>
      </c>
      <c r="AX3" s="42">
        <v>1213069.2960000001</v>
      </c>
      <c r="AY3" s="42">
        <v>5779007.2883000001</v>
      </c>
      <c r="AZ3" s="51">
        <v>-4565937.9923</v>
      </c>
      <c r="BA3" s="42">
        <v>1239254.4971</v>
      </c>
      <c r="BB3" s="42">
        <v>5781233.0303999996</v>
      </c>
      <c r="BC3" s="51">
        <v>-4541978.5333000002</v>
      </c>
      <c r="BD3" s="42">
        <v>1265916.6810000001</v>
      </c>
      <c r="BE3" s="42">
        <v>5783499.3159999996</v>
      </c>
      <c r="BF3" s="51">
        <v>-4517582.6349999998</v>
      </c>
      <c r="BG3" s="42">
        <v>1292811.0449000001</v>
      </c>
      <c r="BH3" s="42">
        <v>5785785.3369000005</v>
      </c>
      <c r="BI3" s="51">
        <v>-4492974.2920000004</v>
      </c>
      <c r="BJ3" s="42">
        <v>1318937.1491</v>
      </c>
      <c r="BK3" s="42">
        <v>5788006.0558000002</v>
      </c>
      <c r="BL3" s="51">
        <v>-4469068.9067000002</v>
      </c>
      <c r="BM3" s="42">
        <v>1345294.3687</v>
      </c>
      <c r="BN3" s="42">
        <v>5790246.4194999998</v>
      </c>
      <c r="BO3" s="51">
        <v>-4444952.0508000003</v>
      </c>
      <c r="BP3" s="42">
        <v>1371568.2150999999</v>
      </c>
      <c r="BQ3" s="42">
        <v>5792479.6963999998</v>
      </c>
      <c r="BR3" s="51">
        <v>-4420911.4813000001</v>
      </c>
      <c r="BS3" s="42">
        <v>1397748.1439</v>
      </c>
      <c r="BT3" s="42">
        <v>5794704.9903999995</v>
      </c>
      <c r="BU3" s="51">
        <v>-4396956.8464000002</v>
      </c>
      <c r="BV3" s="42">
        <v>1423696.9574</v>
      </c>
      <c r="BW3" s="42">
        <v>5796910.6394999996</v>
      </c>
      <c r="BX3" s="51">
        <v>-4373213.6820999999</v>
      </c>
      <c r="BY3" s="42">
        <v>1449763.9646000001</v>
      </c>
      <c r="BZ3" s="42">
        <v>5799126.3350999998</v>
      </c>
      <c r="CA3" s="51">
        <v>-4349362.3705000002</v>
      </c>
      <c r="CB3" s="42">
        <v>1474850.6007999999</v>
      </c>
      <c r="CC3" s="42">
        <v>5801258.6991999997</v>
      </c>
      <c r="CD3" s="51">
        <v>-4326408.0983999996</v>
      </c>
      <c r="CE3" s="42">
        <v>1500090.2514</v>
      </c>
      <c r="CF3" s="42">
        <v>5803404.0695000002</v>
      </c>
      <c r="CG3" s="51">
        <v>-4303313.8180999998</v>
      </c>
      <c r="CH3" s="42">
        <v>1525743.5803</v>
      </c>
      <c r="CI3" s="42">
        <v>5805584.6024000002</v>
      </c>
      <c r="CJ3" s="51">
        <v>-4279841.0221999995</v>
      </c>
      <c r="CK3" s="42">
        <v>1551775.7668999999</v>
      </c>
      <c r="CL3" s="42">
        <v>5807797.3382999999</v>
      </c>
      <c r="CM3" s="51">
        <v>-4256021.5713999998</v>
      </c>
      <c r="CN3" s="42">
        <v>1588133.4646182507</v>
      </c>
      <c r="CO3" s="42">
        <v>5810887.7426166655</v>
      </c>
      <c r="CP3" s="51">
        <v>-4222754.2779984148</v>
      </c>
      <c r="CQ3" s="42">
        <v>1611950.6596787944</v>
      </c>
      <c r="CR3" s="42">
        <v>5812912.2042007921</v>
      </c>
      <c r="CS3" s="51">
        <v>-4200961.5445219977</v>
      </c>
      <c r="CT3" s="42">
        <v>1636497.395647049</v>
      </c>
      <c r="CU3" s="42">
        <v>5814998.6767555363</v>
      </c>
      <c r="CV3" s="51">
        <v>-4178501.2811084874</v>
      </c>
      <c r="CW3" s="64">
        <f>SUM(F3,J3,N3,R3,U3,X3,AA3,AD3,AG3,AJ3,AM3,AP3,AS3,AV3,AY3,BB3,BE3,BH3,BK3,BN3,BQ3,BT3,BW3,BZ3,CC3,CF3,CI3,CL3,CO3,CR3,CU3)</f>
        <v>179210949.03507298</v>
      </c>
      <c r="CX3" s="42">
        <f>SUM(F3,J3,N3,R3,U3,X3,AA3,AD3,AG3,AJ3,AM3,AP3,AS3,AV3,AY3,BB3,BE3,BH3,BK3,BN3,BQ3,BT3,BW3,BZ3,CC3,CF3,CI3,CL3,CO3,CR3)</f>
        <v>173395950.35831743</v>
      </c>
    </row>
    <row r="4" spans="1:102" x14ac:dyDescent="0.25">
      <c r="A4" t="s">
        <v>47</v>
      </c>
      <c r="B4">
        <v>2025</v>
      </c>
      <c r="C4">
        <v>3</v>
      </c>
      <c r="E4" s="42">
        <v>2302810.6699000001</v>
      </c>
      <c r="F4" s="42">
        <v>4209047.5903000003</v>
      </c>
      <c r="G4" s="42">
        <v>-1906236.9203999999</v>
      </c>
      <c r="H4" s="51">
        <v>-3057642.2553500002</v>
      </c>
      <c r="I4" s="42">
        <v>2597413.8949000002</v>
      </c>
      <c r="J4" s="42">
        <v>4232615.8482999997</v>
      </c>
      <c r="K4" s="42">
        <v>-1635201.9534</v>
      </c>
      <c r="L4" s="51">
        <v>-2933908.9008499999</v>
      </c>
      <c r="M4" s="42">
        <v>2790999.5654000002</v>
      </c>
      <c r="N4" s="42">
        <v>4248102.7019999996</v>
      </c>
      <c r="O4" s="42">
        <v>-1457103.1366000001</v>
      </c>
      <c r="P4" s="51">
        <v>-2852602.9192999993</v>
      </c>
      <c r="Q4" s="42">
        <v>2947557.3177</v>
      </c>
      <c r="R4" s="42">
        <v>4260627.3221000005</v>
      </c>
      <c r="S4" s="51">
        <v>-1313070.0045</v>
      </c>
      <c r="T4" s="42">
        <v>3078180.7744999998</v>
      </c>
      <c r="U4" s="42">
        <v>4271077.1986999996</v>
      </c>
      <c r="V4" s="51">
        <v>-1192896.4242</v>
      </c>
      <c r="W4" s="42">
        <v>3215433.2622000002</v>
      </c>
      <c r="X4" s="42">
        <v>4282057.3976999996</v>
      </c>
      <c r="Y4" s="51">
        <v>-1066624.1355000001</v>
      </c>
      <c r="Z4" s="42">
        <v>3334360.7587000001</v>
      </c>
      <c r="AA4" s="42">
        <v>4291571.5974000003</v>
      </c>
      <c r="AB4" s="51">
        <v>-957210.83869999996</v>
      </c>
      <c r="AC4" s="42">
        <v>3457535.4685</v>
      </c>
      <c r="AD4" s="42">
        <v>4301425.5741999997</v>
      </c>
      <c r="AE4" s="51">
        <v>-843890.10569999996</v>
      </c>
      <c r="AF4" s="42">
        <v>3561323.7711999998</v>
      </c>
      <c r="AG4" s="42">
        <v>4309728.6383999996</v>
      </c>
      <c r="AH4" s="51">
        <v>-748404.86719999998</v>
      </c>
      <c r="AI4" s="42">
        <v>3677576.0622999999</v>
      </c>
      <c r="AJ4" s="42">
        <v>4319028.8217000002</v>
      </c>
      <c r="AK4" s="51">
        <v>-641452.75939999998</v>
      </c>
      <c r="AL4" s="42">
        <v>3780066.7489</v>
      </c>
      <c r="AM4" s="42">
        <v>4327228.0766000003</v>
      </c>
      <c r="AN4" s="51">
        <v>-547161.32770000002</v>
      </c>
      <c r="AO4" s="42">
        <v>3901334.5493000001</v>
      </c>
      <c r="AP4" s="42">
        <v>4336929.5006999997</v>
      </c>
      <c r="AQ4" s="51">
        <v>-435594.95140000002</v>
      </c>
      <c r="AR4" s="42">
        <v>4005424.2746000001</v>
      </c>
      <c r="AS4" s="42">
        <v>4345256.6787</v>
      </c>
      <c r="AT4" s="51">
        <v>-339832.40409999999</v>
      </c>
      <c r="AU4" s="42">
        <v>4125968.4794999999</v>
      </c>
      <c r="AV4" s="42">
        <v>4354900.2150999997</v>
      </c>
      <c r="AW4" s="51">
        <v>-228931.73560000001</v>
      </c>
      <c r="AX4" s="42">
        <v>4230135.9305999996</v>
      </c>
      <c r="AY4" s="42">
        <v>4363233.6112000002</v>
      </c>
      <c r="AZ4" s="51">
        <v>-133097.68059999999</v>
      </c>
      <c r="BA4" s="42">
        <v>4354792.6357000005</v>
      </c>
      <c r="BB4" s="42">
        <v>4373206.1475999998</v>
      </c>
      <c r="BC4" s="51">
        <v>-18413.5118</v>
      </c>
      <c r="BD4" s="42">
        <v>4458535.4797999999</v>
      </c>
      <c r="BE4" s="42">
        <v>4381505.5751</v>
      </c>
      <c r="BF4" s="51">
        <v>77029.904699999999</v>
      </c>
      <c r="BG4" s="42">
        <v>4583706.4020999996</v>
      </c>
      <c r="BH4" s="42">
        <v>4391519.2489</v>
      </c>
      <c r="BI4" s="51">
        <v>192187.1532</v>
      </c>
      <c r="BJ4" s="42">
        <v>4691234.3455999997</v>
      </c>
      <c r="BK4" s="42">
        <v>4400121.4844000004</v>
      </c>
      <c r="BL4" s="51">
        <v>291112.86129999999</v>
      </c>
      <c r="BM4" s="42">
        <v>4817538.0559</v>
      </c>
      <c r="BN4" s="42">
        <v>4410225.7812000001</v>
      </c>
      <c r="BO4" s="51">
        <v>407312.27470000001</v>
      </c>
      <c r="BP4" s="42">
        <v>4928582.2065000003</v>
      </c>
      <c r="BQ4" s="42">
        <v>4419109.3132999996</v>
      </c>
      <c r="BR4" s="51">
        <v>509472.8933</v>
      </c>
      <c r="BS4" s="42">
        <v>5042772.7037000004</v>
      </c>
      <c r="BT4" s="42">
        <v>4428244.5530000003</v>
      </c>
      <c r="BU4" s="51">
        <v>614528.1507</v>
      </c>
      <c r="BV4" s="42">
        <v>5140717.1326000001</v>
      </c>
      <c r="BW4" s="42">
        <v>4436080.1073000003</v>
      </c>
      <c r="BX4" s="51">
        <v>704637.02520000003</v>
      </c>
      <c r="BY4" s="42">
        <v>5259561.9705999997</v>
      </c>
      <c r="BZ4" s="42">
        <v>4445587.6944000004</v>
      </c>
      <c r="CA4" s="51">
        <v>813974.27619999996</v>
      </c>
      <c r="CB4" s="42">
        <v>5355384.3591999998</v>
      </c>
      <c r="CC4" s="42">
        <v>4453253.4855000004</v>
      </c>
      <c r="CD4" s="51">
        <v>902130.8737</v>
      </c>
      <c r="CE4" s="42">
        <v>5471559.3187999995</v>
      </c>
      <c r="CF4" s="42">
        <v>4462547.4822000004</v>
      </c>
      <c r="CG4" s="51">
        <v>1009011.8366</v>
      </c>
      <c r="CH4" s="42">
        <v>5590134.7411000002</v>
      </c>
      <c r="CI4" s="42">
        <v>4472033.5159999998</v>
      </c>
      <c r="CJ4" s="51">
        <v>1118101.2250999999</v>
      </c>
      <c r="CK4" s="42">
        <v>5711159.8054</v>
      </c>
      <c r="CL4" s="42">
        <v>4481715.5212000003</v>
      </c>
      <c r="CM4" s="51">
        <v>1229444.2842999999</v>
      </c>
      <c r="CN4" s="42">
        <v>5865864.2377476096</v>
      </c>
      <c r="CO4" s="42">
        <v>4494091.8757595234</v>
      </c>
      <c r="CP4" s="51">
        <v>1371772.3619880863</v>
      </c>
      <c r="CQ4" s="42">
        <v>5962704.4146782458</v>
      </c>
      <c r="CR4" s="42">
        <v>4501839.0899140611</v>
      </c>
      <c r="CS4" s="51">
        <v>1460865.3247641847</v>
      </c>
      <c r="CT4" s="42">
        <v>6068481.9080128372</v>
      </c>
      <c r="CU4" s="42">
        <v>4510301.289380677</v>
      </c>
      <c r="CV4" s="51">
        <v>1558180.6186321601</v>
      </c>
      <c r="CW4" s="64">
        <f t="shared" ref="CW4:CW22" si="0">SUM(F4,J4,N4,R4,U4,X4,AA4,AD4,AG4,AJ4,AM4,AP4,AS4,AV4,AY4,BB4,BE4,BH4,BK4,BN4,BQ4,BT4,BW4,BZ4,CC4,CF4,CI4,CL4,CO4,CR4,CU4)</f>
        <v>135514212.93825427</v>
      </c>
      <c r="CX4" s="42">
        <f t="shared" ref="CX4:CX22" si="1">SUM(F4,J4,N4,R4,U4,X4,AA4,AD4,AG4,AJ4,AM4,AP4,AS4,AV4,AY4,BB4,BE4,BH4,BK4,BN4,BQ4,BT4,BW4,BZ4,CC4,CF4,CI4,CL4,CO4,CR4)</f>
        <v>131003911.6488736</v>
      </c>
    </row>
    <row r="5" spans="1:102" x14ac:dyDescent="0.25">
      <c r="A5" t="s">
        <v>36</v>
      </c>
      <c r="B5">
        <v>2025</v>
      </c>
      <c r="C5">
        <v>3</v>
      </c>
      <c r="D5" t="s">
        <v>347</v>
      </c>
      <c r="E5" s="42">
        <v>1033581.4271</v>
      </c>
      <c r="F5" s="42">
        <v>4935465.3117000004</v>
      </c>
      <c r="G5" s="42">
        <v>-3901883.8846</v>
      </c>
      <c r="H5" s="51">
        <v>-4418674.59815</v>
      </c>
      <c r="I5" s="42">
        <v>1098517.9676999999</v>
      </c>
      <c r="J5" s="42">
        <v>4940660.2350000003</v>
      </c>
      <c r="K5" s="42">
        <v>-3842142.2672999999</v>
      </c>
      <c r="L5" s="51">
        <v>-4391401.2511500008</v>
      </c>
      <c r="M5" s="42">
        <v>1149415.2383999999</v>
      </c>
      <c r="N5" s="42">
        <v>4944732.0165999997</v>
      </c>
      <c r="O5" s="42">
        <v>-3795316.7782000001</v>
      </c>
      <c r="P5" s="51">
        <v>-4370024.3974000001</v>
      </c>
      <c r="Q5" s="42">
        <v>1193531.1392999999</v>
      </c>
      <c r="R5" s="42">
        <v>4948261.2887000004</v>
      </c>
      <c r="S5" s="51">
        <v>-3754730.1494</v>
      </c>
      <c r="T5" s="42">
        <v>1233597.0554</v>
      </c>
      <c r="U5" s="42">
        <v>4951466.5619999999</v>
      </c>
      <c r="V5" s="51">
        <v>-3717869.5066</v>
      </c>
      <c r="W5" s="42">
        <v>1270837.4007000001</v>
      </c>
      <c r="X5" s="42">
        <v>4954445.7895999998</v>
      </c>
      <c r="Y5" s="51">
        <v>-3683608.3889000001</v>
      </c>
      <c r="Z5" s="42">
        <v>1304587.2738000001</v>
      </c>
      <c r="AA5" s="42">
        <v>4957145.7795000002</v>
      </c>
      <c r="AB5" s="51">
        <v>-3652558.5057000001</v>
      </c>
      <c r="AC5" s="42">
        <v>1334939.2102000001</v>
      </c>
      <c r="AD5" s="42">
        <v>4959573.9343999997</v>
      </c>
      <c r="AE5" s="51">
        <v>-3624634.7241000002</v>
      </c>
      <c r="AF5" s="42">
        <v>1362564.1454</v>
      </c>
      <c r="AG5" s="42">
        <v>4961783.9292000001</v>
      </c>
      <c r="AH5" s="51">
        <v>-3599219.7837999999</v>
      </c>
      <c r="AI5" s="42">
        <v>1389564.0438000001</v>
      </c>
      <c r="AJ5" s="42">
        <v>4963943.9210999999</v>
      </c>
      <c r="AK5" s="51">
        <v>-3574379.8772</v>
      </c>
      <c r="AL5" s="42">
        <v>1416035.825</v>
      </c>
      <c r="AM5" s="42">
        <v>4966061.6635999996</v>
      </c>
      <c r="AN5" s="51">
        <v>-3550025.8385000001</v>
      </c>
      <c r="AO5" s="42">
        <v>1443198.3012999999</v>
      </c>
      <c r="AP5" s="42">
        <v>4968234.6617000001</v>
      </c>
      <c r="AQ5" s="51">
        <v>-3525036.3602999998</v>
      </c>
      <c r="AR5" s="42">
        <v>1469256.3428</v>
      </c>
      <c r="AS5" s="42">
        <v>4970319.3049999997</v>
      </c>
      <c r="AT5" s="51">
        <v>-3501062.9622</v>
      </c>
      <c r="AU5" s="42">
        <v>1495602.5430999999</v>
      </c>
      <c r="AV5" s="42">
        <v>4972427.0010000002</v>
      </c>
      <c r="AW5" s="51">
        <v>-3476824.4578999998</v>
      </c>
      <c r="AX5" s="42">
        <v>1521597.7941000001</v>
      </c>
      <c r="AY5" s="42">
        <v>4974506.6211000001</v>
      </c>
      <c r="AZ5" s="51">
        <v>-3452908.8269000002</v>
      </c>
      <c r="BA5" s="42">
        <v>1548383.5277</v>
      </c>
      <c r="BB5" s="42">
        <v>4976649.4797999999</v>
      </c>
      <c r="BC5" s="51">
        <v>-3428265.9520999999</v>
      </c>
      <c r="BD5" s="42">
        <v>1575263.4469000001</v>
      </c>
      <c r="BE5" s="42">
        <v>4978799.8733000001</v>
      </c>
      <c r="BF5" s="51">
        <v>-3403536.4264000002</v>
      </c>
      <c r="BG5" s="42">
        <v>1602357.531</v>
      </c>
      <c r="BH5" s="42">
        <v>4980967.4000000004</v>
      </c>
      <c r="BI5" s="51">
        <v>-3378609.8690999998</v>
      </c>
      <c r="BJ5" s="42">
        <v>1628201.4076</v>
      </c>
      <c r="BK5" s="42">
        <v>4983034.9101999998</v>
      </c>
      <c r="BL5" s="51">
        <v>-3354833.5025999998</v>
      </c>
      <c r="BM5" s="42">
        <v>1654165.2634000001</v>
      </c>
      <c r="BN5" s="42">
        <v>4985112.0186000001</v>
      </c>
      <c r="BO5" s="51">
        <v>-3330946.7552</v>
      </c>
      <c r="BP5" s="42">
        <v>1679506.8163000001</v>
      </c>
      <c r="BQ5" s="42">
        <v>4987139.3428999996</v>
      </c>
      <c r="BR5" s="51">
        <v>-3307632.5266</v>
      </c>
      <c r="BS5" s="42">
        <v>1703856.662</v>
      </c>
      <c r="BT5" s="42">
        <v>4989087.3305000002</v>
      </c>
      <c r="BU5" s="51">
        <v>-3285230.6685000001</v>
      </c>
      <c r="BV5" s="42">
        <v>1727423.4055999999</v>
      </c>
      <c r="BW5" s="42">
        <v>4990972.67</v>
      </c>
      <c r="BX5" s="51">
        <v>-3263549.2644000002</v>
      </c>
      <c r="BY5" s="42">
        <v>1750755.6636999999</v>
      </c>
      <c r="BZ5" s="42">
        <v>4992839.2506999997</v>
      </c>
      <c r="CA5" s="51">
        <v>-3242083.5869</v>
      </c>
      <c r="CB5" s="42">
        <v>1772512.5586000001</v>
      </c>
      <c r="CC5" s="42">
        <v>4994579.8022999996</v>
      </c>
      <c r="CD5" s="51">
        <v>-3222067.2436000002</v>
      </c>
      <c r="CE5" s="42">
        <v>1794049.6869000001</v>
      </c>
      <c r="CF5" s="42">
        <v>4996302.7725</v>
      </c>
      <c r="CG5" s="51">
        <v>-3202253.0855999999</v>
      </c>
      <c r="CH5" s="42">
        <v>1816157.531</v>
      </c>
      <c r="CI5" s="42">
        <v>4998071.4000000004</v>
      </c>
      <c r="CJ5" s="51">
        <v>-3181913.8689999999</v>
      </c>
      <c r="CK5" s="42">
        <v>1838636.5162</v>
      </c>
      <c r="CL5" s="42">
        <v>4999869.7188999997</v>
      </c>
      <c r="CM5" s="51">
        <v>-3161233.2026</v>
      </c>
      <c r="CN5" s="42">
        <v>1899108.0893857107</v>
      </c>
      <c r="CO5" s="42">
        <v>5004707.4447222212</v>
      </c>
      <c r="CP5" s="51">
        <v>-3105599.3553365106</v>
      </c>
      <c r="CQ5" s="42">
        <v>1920629.2334725633</v>
      </c>
      <c r="CR5" s="42">
        <v>5006429.1362468265</v>
      </c>
      <c r="CS5" s="51">
        <v>-3085799.9027742632</v>
      </c>
      <c r="CT5" s="42">
        <v>1943509.2611885965</v>
      </c>
      <c r="CU5" s="42">
        <v>5008259.5384652438</v>
      </c>
      <c r="CV5" s="51">
        <v>-3064750.2772766473</v>
      </c>
      <c r="CW5" s="64">
        <f t="shared" si="0"/>
        <v>154241850.10933429</v>
      </c>
      <c r="CX5" s="42">
        <f t="shared" si="1"/>
        <v>149233590.57086906</v>
      </c>
    </row>
    <row r="6" spans="1:102" x14ac:dyDescent="0.25">
      <c r="A6" t="s">
        <v>321</v>
      </c>
      <c r="B6">
        <v>2025</v>
      </c>
      <c r="C6" s="62">
        <v>4</v>
      </c>
      <c r="D6" t="s">
        <v>348</v>
      </c>
      <c r="E6" s="42">
        <v>7491457.5376000004</v>
      </c>
      <c r="F6" s="42">
        <v>8152684.2662000004</v>
      </c>
      <c r="G6" s="42">
        <v>-661226.72860000003</v>
      </c>
      <c r="H6" s="51">
        <v>-4406955.4974000007</v>
      </c>
      <c r="I6" s="42">
        <v>7931974.9348999998</v>
      </c>
      <c r="J6" s="42">
        <v>8187925.6579999998</v>
      </c>
      <c r="K6" s="42">
        <v>-255950.7231</v>
      </c>
      <c r="L6" s="51">
        <v>-4221938.1905499995</v>
      </c>
      <c r="M6" s="42">
        <v>8292185.8140000002</v>
      </c>
      <c r="N6" s="42">
        <v>8216742.5283000004</v>
      </c>
      <c r="O6" s="42">
        <v>75443.285699999993</v>
      </c>
      <c r="P6" s="51">
        <v>-4070649.6213000002</v>
      </c>
      <c r="Q6" s="42">
        <v>8614241.5672999993</v>
      </c>
      <c r="R6" s="42">
        <v>8242506.9885999998</v>
      </c>
      <c r="S6" s="51">
        <v>371734.57880000002</v>
      </c>
      <c r="T6" s="42">
        <v>8908367.6092000008</v>
      </c>
      <c r="U6" s="42">
        <v>8266037.0718999999</v>
      </c>
      <c r="V6" s="51">
        <v>642330.53729999997</v>
      </c>
      <c r="W6" s="42">
        <v>9185439.2489999998</v>
      </c>
      <c r="X6" s="42">
        <v>8288202.8031000001</v>
      </c>
      <c r="Y6" s="51">
        <v>897236.44590000005</v>
      </c>
      <c r="Z6" s="42">
        <v>9436366.2393999994</v>
      </c>
      <c r="AA6" s="42">
        <v>8308276.9622999998</v>
      </c>
      <c r="AB6" s="51">
        <v>1128089.2771000001</v>
      </c>
      <c r="AC6" s="42">
        <v>9660353.7134000007</v>
      </c>
      <c r="AD6" s="42">
        <v>8326195.9601999996</v>
      </c>
      <c r="AE6" s="51">
        <v>1334157.7531000001</v>
      </c>
      <c r="AF6" s="42">
        <v>9861542.4493000004</v>
      </c>
      <c r="AG6" s="42">
        <v>8342291.0591000002</v>
      </c>
      <c r="AH6" s="51">
        <v>1519251.3902</v>
      </c>
      <c r="AI6" s="42">
        <v>10059670.2432</v>
      </c>
      <c r="AJ6" s="42">
        <v>8358141.2825999996</v>
      </c>
      <c r="AK6" s="51">
        <v>1701528.9606000001</v>
      </c>
      <c r="AL6" s="42">
        <v>10252337.817500001</v>
      </c>
      <c r="AM6" s="42">
        <v>8373554.6886</v>
      </c>
      <c r="AN6" s="51">
        <v>1878783.1288999999</v>
      </c>
      <c r="AO6" s="42">
        <v>10448915.134400001</v>
      </c>
      <c r="AP6" s="42">
        <v>8389280.8739</v>
      </c>
      <c r="AQ6" s="51">
        <v>2059634.2605000001</v>
      </c>
      <c r="AR6" s="42">
        <v>10637511.532099999</v>
      </c>
      <c r="AS6" s="42">
        <v>8404368.5856999997</v>
      </c>
      <c r="AT6" s="51">
        <v>2233142.9463999998</v>
      </c>
      <c r="AU6" s="42">
        <v>10828579.8837</v>
      </c>
      <c r="AV6" s="42">
        <v>8419654.0538999997</v>
      </c>
      <c r="AW6" s="51">
        <v>2408925.8297999999</v>
      </c>
      <c r="AX6" s="42">
        <v>11015091.659499999</v>
      </c>
      <c r="AY6" s="42">
        <v>8434574.9958999995</v>
      </c>
      <c r="AZ6" s="51">
        <v>2580516.6634999998</v>
      </c>
      <c r="BA6" s="42">
        <v>11206170.060799999</v>
      </c>
      <c r="BB6" s="42">
        <v>8449861.2679999992</v>
      </c>
      <c r="BC6" s="51">
        <v>2756308.7927999999</v>
      </c>
      <c r="BD6" s="42">
        <v>11397498.1018</v>
      </c>
      <c r="BE6" s="42">
        <v>8465167.5112999994</v>
      </c>
      <c r="BF6" s="51">
        <v>2932330.5904999999</v>
      </c>
      <c r="BG6" s="42">
        <v>11588995.397</v>
      </c>
      <c r="BH6" s="42">
        <v>8480487.2949000001</v>
      </c>
      <c r="BI6" s="51">
        <v>3108508.1020999998</v>
      </c>
      <c r="BJ6" s="42">
        <v>11770082.6845</v>
      </c>
      <c r="BK6" s="42">
        <v>8494974.2778999992</v>
      </c>
      <c r="BL6" s="51">
        <v>3275108.4065999999</v>
      </c>
      <c r="BM6" s="42">
        <v>11952165.3051</v>
      </c>
      <c r="BN6" s="42">
        <v>8509540.8875999991</v>
      </c>
      <c r="BO6" s="51">
        <v>3442624.4175</v>
      </c>
      <c r="BP6" s="42">
        <v>12127143.793400001</v>
      </c>
      <c r="BQ6" s="42">
        <v>8523539.1666999999</v>
      </c>
      <c r="BR6" s="51">
        <v>3603604.6268000002</v>
      </c>
      <c r="BS6" s="42">
        <v>12292115.6953</v>
      </c>
      <c r="BT6" s="42">
        <v>8536736.9188000001</v>
      </c>
      <c r="BU6" s="51">
        <v>3755378.7765000002</v>
      </c>
      <c r="BV6" s="42">
        <v>12448416.6237</v>
      </c>
      <c r="BW6" s="42">
        <v>8549240.9931000005</v>
      </c>
      <c r="BX6" s="51">
        <v>3899175.6307000001</v>
      </c>
      <c r="BY6" s="42">
        <v>12602821.8069</v>
      </c>
      <c r="BZ6" s="42">
        <v>8561593.4077000003</v>
      </c>
      <c r="CA6" s="51">
        <v>4041228.3991999999</v>
      </c>
      <c r="CB6" s="42">
        <v>12743708.1609</v>
      </c>
      <c r="CC6" s="42">
        <v>8572864.3159999996</v>
      </c>
      <c r="CD6" s="51">
        <v>4170843.8448000001</v>
      </c>
      <c r="CE6" s="42">
        <v>12881752.960100001</v>
      </c>
      <c r="CF6" s="42">
        <v>8583907.9000000004</v>
      </c>
      <c r="CG6" s="51">
        <v>4297845.0601000004</v>
      </c>
      <c r="CH6" s="42">
        <v>13022463.044199999</v>
      </c>
      <c r="CI6" s="42">
        <v>8595164.7067000009</v>
      </c>
      <c r="CJ6" s="51">
        <v>4427298.3375000004</v>
      </c>
      <c r="CK6" s="42">
        <v>13164148.729599999</v>
      </c>
      <c r="CL6" s="42">
        <v>8606499.5614999998</v>
      </c>
      <c r="CM6" s="51">
        <v>4557649.1679999996</v>
      </c>
      <c r="CN6" s="42">
        <v>13666863.865548432</v>
      </c>
      <c r="CO6" s="42">
        <v>8646716.7724007964</v>
      </c>
      <c r="CP6" s="51">
        <v>5020147.0931476355</v>
      </c>
      <c r="CQ6" s="42">
        <v>13818424.240215659</v>
      </c>
      <c r="CR6" s="42">
        <v>8658841.6023747213</v>
      </c>
      <c r="CS6" s="51">
        <v>5159582.6378409378</v>
      </c>
      <c r="CT6" s="42">
        <v>13977586.63384372</v>
      </c>
      <c r="CU6" s="42">
        <v>8671574.5938671306</v>
      </c>
      <c r="CV6" s="51">
        <v>5306012.0399765894</v>
      </c>
      <c r="CW6" s="64">
        <f t="shared" si="0"/>
        <v>261617148.95714271</v>
      </c>
      <c r="CX6" s="42">
        <f t="shared" si="1"/>
        <v>252945574.36327559</v>
      </c>
    </row>
    <row r="7" spans="1:102" x14ac:dyDescent="0.25">
      <c r="A7" t="s">
        <v>39</v>
      </c>
      <c r="B7">
        <v>2025</v>
      </c>
      <c r="C7">
        <v>3</v>
      </c>
      <c r="E7" s="42">
        <v>1076881.0519999999</v>
      </c>
      <c r="F7" s="42">
        <v>3307652.6872999999</v>
      </c>
      <c r="G7" s="42">
        <v>-2230771.6353000002</v>
      </c>
      <c r="H7" s="51">
        <v>-2769212.1612999998</v>
      </c>
      <c r="I7" s="42">
        <v>1139776.9025999999</v>
      </c>
      <c r="J7" s="42">
        <v>3312684.3553999998</v>
      </c>
      <c r="K7" s="42">
        <v>-2172907.4528000001</v>
      </c>
      <c r="L7" s="51">
        <v>-2742795.9040999999</v>
      </c>
      <c r="M7" s="42">
        <v>1193154.3965</v>
      </c>
      <c r="N7" s="42">
        <v>3316954.5548999999</v>
      </c>
      <c r="O7" s="42">
        <v>-2123800.1584000001</v>
      </c>
      <c r="P7" s="51">
        <v>-2720377.35665</v>
      </c>
      <c r="Q7" s="42">
        <v>1242010.9772000001</v>
      </c>
      <c r="R7" s="42">
        <v>3320863.0814</v>
      </c>
      <c r="S7" s="51">
        <v>-2078852.1041000001</v>
      </c>
      <c r="T7" s="42">
        <v>1288293.149</v>
      </c>
      <c r="U7" s="42">
        <v>3324565.6551000001</v>
      </c>
      <c r="V7" s="51">
        <v>-2036272.5061000001</v>
      </c>
      <c r="W7" s="42">
        <v>1333243.8677999999</v>
      </c>
      <c r="X7" s="42">
        <v>3328161.7126000002</v>
      </c>
      <c r="Y7" s="51">
        <v>-1994917.8448000001</v>
      </c>
      <c r="Z7" s="42">
        <v>1375718.7471</v>
      </c>
      <c r="AA7" s="42">
        <v>3331559.7028999999</v>
      </c>
      <c r="AB7" s="51">
        <v>-1955840.9558999999</v>
      </c>
      <c r="AC7" s="42">
        <v>1414528.8540000001</v>
      </c>
      <c r="AD7" s="42">
        <v>3334664.5115</v>
      </c>
      <c r="AE7" s="51">
        <v>-1920135.6575</v>
      </c>
      <c r="AF7" s="42">
        <v>1450921.5281</v>
      </c>
      <c r="AG7" s="42">
        <v>3337575.9254000001</v>
      </c>
      <c r="AH7" s="51">
        <v>-1886654.3973000001</v>
      </c>
      <c r="AI7" s="42">
        <v>1487157.2261000001</v>
      </c>
      <c r="AJ7" s="42">
        <v>3340474.7812999999</v>
      </c>
      <c r="AK7" s="51">
        <v>-1853317.5552000001</v>
      </c>
      <c r="AL7" s="42">
        <v>1523136.1603999999</v>
      </c>
      <c r="AM7" s="42">
        <v>3343353.0959999999</v>
      </c>
      <c r="AN7" s="51">
        <v>-1820216.9356</v>
      </c>
      <c r="AO7" s="42">
        <v>1560093.9487000001</v>
      </c>
      <c r="AP7" s="42">
        <v>3346309.7190999999</v>
      </c>
      <c r="AQ7" s="51">
        <v>-1786215.7704</v>
      </c>
      <c r="AR7" s="42">
        <v>1596643.5989999999</v>
      </c>
      <c r="AS7" s="42">
        <v>3349233.6910999999</v>
      </c>
      <c r="AT7" s="51">
        <v>-1752590.0921</v>
      </c>
      <c r="AU7" s="42">
        <v>1633726.9682</v>
      </c>
      <c r="AV7" s="42">
        <v>3352200.3605999998</v>
      </c>
      <c r="AW7" s="51">
        <v>-1718473.3924</v>
      </c>
      <c r="AX7" s="42">
        <v>1670967.3134999999</v>
      </c>
      <c r="AY7" s="42">
        <v>3355179.5882999999</v>
      </c>
      <c r="AZ7" s="51">
        <v>-1684212.2747</v>
      </c>
      <c r="BA7" s="42">
        <v>1709356.4291000001</v>
      </c>
      <c r="BB7" s="42">
        <v>3358250.7174999998</v>
      </c>
      <c r="BC7" s="51">
        <v>-1648894.2884</v>
      </c>
      <c r="BD7" s="42">
        <v>1748332.6292000001</v>
      </c>
      <c r="BE7" s="42">
        <v>3361368.8135000002</v>
      </c>
      <c r="BF7" s="51">
        <v>-1613036.1843000001</v>
      </c>
      <c r="BG7" s="42">
        <v>1787959.0120999999</v>
      </c>
      <c r="BH7" s="42">
        <v>3364538.9240999999</v>
      </c>
      <c r="BI7" s="51">
        <v>-1576579.912</v>
      </c>
      <c r="BJ7" s="42">
        <v>1826863.3047</v>
      </c>
      <c r="BK7" s="42">
        <v>3367651.2675999999</v>
      </c>
      <c r="BL7" s="51">
        <v>-1540787.9628999999</v>
      </c>
      <c r="BM7" s="42">
        <v>1866575.4036999999</v>
      </c>
      <c r="BN7" s="42">
        <v>3370828.2355</v>
      </c>
      <c r="BO7" s="51">
        <v>-1504252.8318</v>
      </c>
      <c r="BP7" s="42">
        <v>1905950.6247</v>
      </c>
      <c r="BQ7" s="42">
        <v>3373978.2532000002</v>
      </c>
      <c r="BR7" s="51">
        <v>-1468027.6284</v>
      </c>
      <c r="BS7" s="42">
        <v>1946016.5408000001</v>
      </c>
      <c r="BT7" s="42">
        <v>3377183.5263999999</v>
      </c>
      <c r="BU7" s="51">
        <v>-1431166.9856</v>
      </c>
      <c r="BV7" s="42">
        <v>1986396.4092999999</v>
      </c>
      <c r="BW7" s="42">
        <v>3380413.9158999999</v>
      </c>
      <c r="BX7" s="51">
        <v>-1394017.5067</v>
      </c>
      <c r="BY7" s="42">
        <v>2027247.2061000001</v>
      </c>
      <c r="BZ7" s="42">
        <v>3383681.9797</v>
      </c>
      <c r="CA7" s="51">
        <v>-1356434.7734999999</v>
      </c>
      <c r="CB7" s="42">
        <v>2067237.4785</v>
      </c>
      <c r="CC7" s="42">
        <v>3386881.2015</v>
      </c>
      <c r="CD7" s="51">
        <v>-1319643.723</v>
      </c>
      <c r="CE7" s="42">
        <v>2107428.9755000002</v>
      </c>
      <c r="CF7" s="42">
        <v>3390096.5211999998</v>
      </c>
      <c r="CG7" s="51">
        <v>-1282667.5456999999</v>
      </c>
      <c r="CH7" s="42">
        <v>2148368.3563000001</v>
      </c>
      <c r="CI7" s="42">
        <v>3393371.6716999998</v>
      </c>
      <c r="CJ7" s="51">
        <v>-1245003.3152999999</v>
      </c>
      <c r="CK7" s="42">
        <v>2190255.1957999999</v>
      </c>
      <c r="CL7" s="42">
        <v>3396722.6187999998</v>
      </c>
      <c r="CM7" s="51">
        <v>-1206467.423</v>
      </c>
      <c r="CN7" s="42">
        <v>2227217.0243150741</v>
      </c>
      <c r="CO7" s="42">
        <v>3399679.5651269834</v>
      </c>
      <c r="CP7" s="51">
        <v>-1172462.5408119094</v>
      </c>
      <c r="CQ7" s="42">
        <v>2263363.6489315182</v>
      </c>
      <c r="CR7" s="42">
        <v>3402571.2950935373</v>
      </c>
      <c r="CS7" s="51">
        <v>-1139207.6461620191</v>
      </c>
      <c r="CT7" s="42">
        <v>2300536.1606652737</v>
      </c>
      <c r="CU7" s="42">
        <v>3405545.0960328761</v>
      </c>
      <c r="CV7" s="51">
        <v>-1105008.9353676024</v>
      </c>
      <c r="CW7" s="64">
        <f t="shared" si="0"/>
        <v>104114197.02575339</v>
      </c>
      <c r="CX7" s="42">
        <f t="shared" si="1"/>
        <v>100708651.92972052</v>
      </c>
    </row>
    <row r="8" spans="1:102" x14ac:dyDescent="0.25">
      <c r="A8" t="s">
        <v>50</v>
      </c>
      <c r="B8">
        <v>2025</v>
      </c>
      <c r="C8">
        <v>1</v>
      </c>
      <c r="E8" s="42">
        <v>254166.15539999999</v>
      </c>
      <c r="F8" s="42">
        <v>2034664.0327999999</v>
      </c>
      <c r="G8" s="42">
        <v>-1780497.8773000001</v>
      </c>
      <c r="H8" s="51">
        <v>-1907580.9550999999</v>
      </c>
      <c r="I8" s="42">
        <v>267625.3015</v>
      </c>
      <c r="J8" s="42">
        <v>2035808.0601999999</v>
      </c>
      <c r="K8" s="42">
        <v>-1768182.7586999999</v>
      </c>
      <c r="L8" s="51">
        <v>-1901995.4094499999</v>
      </c>
      <c r="M8" s="42">
        <v>279271.72009999998</v>
      </c>
      <c r="N8" s="42">
        <v>2036798.0057999999</v>
      </c>
      <c r="O8" s="42">
        <v>-1757526.2856000001</v>
      </c>
      <c r="P8" s="51">
        <v>-1897162.1457499999</v>
      </c>
      <c r="Q8" s="42">
        <v>290699.89480000001</v>
      </c>
      <c r="R8" s="42">
        <v>2037769.4006000001</v>
      </c>
      <c r="S8" s="51">
        <v>-1747069.5057999999</v>
      </c>
      <c r="T8" s="42">
        <v>301368.36989999999</v>
      </c>
      <c r="U8" s="42">
        <v>2038676.2209999999</v>
      </c>
      <c r="V8" s="51">
        <v>-1737307.8511000001</v>
      </c>
      <c r="W8" s="42">
        <v>311699.92340000003</v>
      </c>
      <c r="X8" s="42">
        <v>2039554.4029999999</v>
      </c>
      <c r="Y8" s="51">
        <v>-1727854.4797</v>
      </c>
      <c r="Z8" s="42">
        <v>321915.21769999998</v>
      </c>
      <c r="AA8" s="42">
        <v>2040422.7031</v>
      </c>
      <c r="AB8" s="51">
        <v>-1718507.4853999999</v>
      </c>
      <c r="AC8" s="42">
        <v>331427.94130000001</v>
      </c>
      <c r="AD8" s="42">
        <v>2041231.2845999999</v>
      </c>
      <c r="AE8" s="51">
        <v>-1709803.3432</v>
      </c>
      <c r="AF8" s="42">
        <v>339933.08669999999</v>
      </c>
      <c r="AG8" s="42">
        <v>2041954.2219</v>
      </c>
      <c r="AH8" s="51">
        <v>-1702021.1351999999</v>
      </c>
      <c r="AI8" s="42">
        <v>349149.46380000003</v>
      </c>
      <c r="AJ8" s="42">
        <v>2042737.6140000001</v>
      </c>
      <c r="AK8" s="51">
        <v>-1693588.1501</v>
      </c>
      <c r="AL8" s="42">
        <v>358128.76370000001</v>
      </c>
      <c r="AM8" s="42">
        <v>2043500.8544999999</v>
      </c>
      <c r="AN8" s="51">
        <v>-1685372.0907999999</v>
      </c>
      <c r="AO8" s="42">
        <v>367201.98109999998</v>
      </c>
      <c r="AP8" s="42">
        <v>2044272.0778999999</v>
      </c>
      <c r="AQ8" s="51">
        <v>-1677070.0967999999</v>
      </c>
      <c r="AR8" s="42">
        <v>376210.91570000001</v>
      </c>
      <c r="AS8" s="42">
        <v>2045037.8374000001</v>
      </c>
      <c r="AT8" s="51">
        <v>-1668826.9217000001</v>
      </c>
      <c r="AU8" s="42">
        <v>385723.63929999998</v>
      </c>
      <c r="AV8" s="42">
        <v>2045846.4188999999</v>
      </c>
      <c r="AW8" s="51">
        <v>-1660122.7796</v>
      </c>
      <c r="AX8" s="42">
        <v>395414.17080000002</v>
      </c>
      <c r="AY8" s="42">
        <v>2046670.1140999999</v>
      </c>
      <c r="AZ8" s="51">
        <v>-1651255.9432000001</v>
      </c>
      <c r="BA8" s="42">
        <v>405045.43310000002</v>
      </c>
      <c r="BB8" s="42">
        <v>2047488.7714</v>
      </c>
      <c r="BC8" s="51">
        <v>-1642443.3382999999</v>
      </c>
      <c r="BD8" s="42">
        <v>414824.86859999999</v>
      </c>
      <c r="BE8" s="42">
        <v>2048320.0234000001</v>
      </c>
      <c r="BF8" s="51">
        <v>-1633495.1547999999</v>
      </c>
      <c r="BG8" s="42">
        <v>425202.01069999998</v>
      </c>
      <c r="BH8" s="42">
        <v>2049202.0804999999</v>
      </c>
      <c r="BI8" s="51">
        <v>-1624000.0697000001</v>
      </c>
      <c r="BJ8" s="42">
        <v>435248.1581</v>
      </c>
      <c r="BK8" s="42">
        <v>2050056.003</v>
      </c>
      <c r="BL8" s="51">
        <v>-1614807.8448999999</v>
      </c>
      <c r="BM8" s="42">
        <v>444997.95899999997</v>
      </c>
      <c r="BN8" s="42">
        <v>2050884.7361000001</v>
      </c>
      <c r="BO8" s="51">
        <v>-1605886.7771000001</v>
      </c>
      <c r="BP8" s="42">
        <v>455192.27960000001</v>
      </c>
      <c r="BQ8" s="42">
        <v>2051751.2533</v>
      </c>
      <c r="BR8" s="51">
        <v>-1596558.9737</v>
      </c>
      <c r="BS8" s="42">
        <v>464379.0221</v>
      </c>
      <c r="BT8" s="42">
        <v>2052532.1264</v>
      </c>
      <c r="BU8" s="51">
        <v>-1588153.1044000001</v>
      </c>
      <c r="BV8" s="42">
        <v>474028.97850000003</v>
      </c>
      <c r="BW8" s="42">
        <v>2053352.3726999999</v>
      </c>
      <c r="BX8" s="51">
        <v>-1579323.3942</v>
      </c>
      <c r="BY8" s="42">
        <v>483008.27840000001</v>
      </c>
      <c r="BZ8" s="42">
        <v>2054115.6132</v>
      </c>
      <c r="CA8" s="51">
        <v>-1571107.3348000001</v>
      </c>
      <c r="CB8" s="42">
        <v>491720.8664</v>
      </c>
      <c r="CC8" s="42">
        <v>2054856.1832000001</v>
      </c>
      <c r="CD8" s="51">
        <v>-1563135.3167999999</v>
      </c>
      <c r="CE8" s="42">
        <v>500522.35830000002</v>
      </c>
      <c r="CF8" s="42">
        <v>2055604.31</v>
      </c>
      <c r="CG8" s="51">
        <v>-1555081.9517000001</v>
      </c>
      <c r="CH8" s="42">
        <v>509501.65820000001</v>
      </c>
      <c r="CI8" s="42">
        <v>2056367.5504999999</v>
      </c>
      <c r="CJ8" s="51">
        <v>-1546865.8922999999</v>
      </c>
      <c r="CK8" s="42">
        <v>518629.13130000001</v>
      </c>
      <c r="CL8" s="42">
        <v>2057143.3857</v>
      </c>
      <c r="CM8" s="51">
        <v>-1538514.2544</v>
      </c>
      <c r="CN8" s="42">
        <v>530788.9723523818</v>
      </c>
      <c r="CO8" s="42">
        <v>2058176.9721944449</v>
      </c>
      <c r="CP8" s="51">
        <v>-1527387.9998420631</v>
      </c>
      <c r="CQ8" s="42">
        <v>539865.36527970433</v>
      </c>
      <c r="CR8" s="42">
        <v>2058948.4655936514</v>
      </c>
      <c r="CS8" s="51">
        <v>-1519083.1003139471</v>
      </c>
      <c r="CT8" s="42">
        <v>549111.15278432891</v>
      </c>
      <c r="CU8" s="42">
        <v>2059734.3575308842</v>
      </c>
      <c r="CV8" s="51">
        <v>-1510623.2047465553</v>
      </c>
      <c r="CW8" s="64">
        <f t="shared" si="0"/>
        <v>63473477.454518996</v>
      </c>
      <c r="CX8" s="42">
        <f t="shared" si="1"/>
        <v>61413743.096988112</v>
      </c>
    </row>
    <row r="9" spans="1:102" x14ac:dyDescent="0.25">
      <c r="A9" t="s">
        <v>53</v>
      </c>
      <c r="B9">
        <v>2025</v>
      </c>
      <c r="C9">
        <v>3</v>
      </c>
      <c r="E9" s="42">
        <v>324611.97110000002</v>
      </c>
      <c r="F9" s="42">
        <v>2627092.7963999999</v>
      </c>
      <c r="G9" s="42">
        <v>-2302480.8253000001</v>
      </c>
      <c r="H9" s="51">
        <v>-2464786.81085</v>
      </c>
      <c r="I9" s="42">
        <v>342126.05109999998</v>
      </c>
      <c r="J9" s="42">
        <v>2628581.4931999999</v>
      </c>
      <c r="K9" s="42">
        <v>-2286455.4421000001</v>
      </c>
      <c r="L9" s="51">
        <v>-2457518.46765</v>
      </c>
      <c r="M9" s="42">
        <v>357950.9558</v>
      </c>
      <c r="N9" s="42">
        <v>2629926.6101000002</v>
      </c>
      <c r="O9" s="42">
        <v>-2271975.6543000001</v>
      </c>
      <c r="P9" s="51">
        <v>-2450951.1322000003</v>
      </c>
      <c r="Q9" s="42">
        <v>373306.71970000002</v>
      </c>
      <c r="R9" s="42">
        <v>2631231.85</v>
      </c>
      <c r="S9" s="51">
        <v>-2257925.1304000001</v>
      </c>
      <c r="T9" s="42">
        <v>388124.04619999998</v>
      </c>
      <c r="U9" s="42">
        <v>2632491.3228000002</v>
      </c>
      <c r="V9" s="51">
        <v>-2244367.2766</v>
      </c>
      <c r="W9" s="42">
        <v>402882.10340000002</v>
      </c>
      <c r="X9" s="42">
        <v>2633745.7576000001</v>
      </c>
      <c r="Y9" s="51">
        <v>-2230863.6542000002</v>
      </c>
      <c r="Z9" s="42">
        <v>417106.73690000002</v>
      </c>
      <c r="AA9" s="42">
        <v>2634954.8514999999</v>
      </c>
      <c r="AB9" s="51">
        <v>-2217848.1146</v>
      </c>
      <c r="AC9" s="42">
        <v>430773.32549999998</v>
      </c>
      <c r="AD9" s="42">
        <v>2636116.5115</v>
      </c>
      <c r="AE9" s="51">
        <v>-2205343.1860000002</v>
      </c>
      <c r="AF9" s="42">
        <v>443871.84220000001</v>
      </c>
      <c r="AG9" s="42">
        <v>2637229.8854</v>
      </c>
      <c r="AH9" s="51">
        <v>-2193358.0433</v>
      </c>
      <c r="AI9" s="42">
        <v>457088.89740000002</v>
      </c>
      <c r="AJ9" s="42">
        <v>2638353.3350999998</v>
      </c>
      <c r="AK9" s="51">
        <v>-2181264.4377000001</v>
      </c>
      <c r="AL9" s="42">
        <v>470527.07579999999</v>
      </c>
      <c r="AM9" s="42">
        <v>2639495.5803</v>
      </c>
      <c r="AN9" s="51">
        <v>-2168968.5044999998</v>
      </c>
      <c r="AO9" s="42">
        <v>484490.011</v>
      </c>
      <c r="AP9" s="42">
        <v>2640682.4298</v>
      </c>
      <c r="AQ9" s="51">
        <v>-2156192.4188000001</v>
      </c>
      <c r="AR9" s="42">
        <v>498299.75929999998</v>
      </c>
      <c r="AS9" s="42">
        <v>2641856.2584000002</v>
      </c>
      <c r="AT9" s="51">
        <v>-2143556.4991000001</v>
      </c>
      <c r="AU9" s="42">
        <v>512613.29680000001</v>
      </c>
      <c r="AV9" s="42">
        <v>2643072.9090999998</v>
      </c>
      <c r="AW9" s="51">
        <v>-2130459.6123000002</v>
      </c>
      <c r="AX9" s="42">
        <v>527186.37620000006</v>
      </c>
      <c r="AY9" s="42">
        <v>2644311.6208000001</v>
      </c>
      <c r="AZ9" s="51">
        <v>-2117125.2445999999</v>
      </c>
      <c r="BA9" s="42">
        <v>542181.51060000004</v>
      </c>
      <c r="BB9" s="42">
        <v>2645586.2072999999</v>
      </c>
      <c r="BC9" s="51">
        <v>-2103404.6965999999</v>
      </c>
      <c r="BD9" s="42">
        <v>557502.6263</v>
      </c>
      <c r="BE9" s="42">
        <v>2646888.5021000002</v>
      </c>
      <c r="BF9" s="51">
        <v>-2089385.8758</v>
      </c>
      <c r="BG9" s="42">
        <v>573268.26170000003</v>
      </c>
      <c r="BH9" s="42">
        <v>2648228.5811000001</v>
      </c>
      <c r="BI9" s="51">
        <v>-2074960.3193999999</v>
      </c>
      <c r="BJ9" s="42">
        <v>588979.64139999996</v>
      </c>
      <c r="BK9" s="42">
        <v>2649564.0484000002</v>
      </c>
      <c r="BL9" s="51">
        <v>-2060584.4069999999</v>
      </c>
      <c r="BM9" s="42">
        <v>605071.25800000003</v>
      </c>
      <c r="BN9" s="42">
        <v>2650931.8358</v>
      </c>
      <c r="BO9" s="51">
        <v>-2045860.5778000001</v>
      </c>
      <c r="BP9" s="42">
        <v>621162.87459999998</v>
      </c>
      <c r="BQ9" s="42">
        <v>2652299.6231999998</v>
      </c>
      <c r="BR9" s="51">
        <v>-2031136.7486</v>
      </c>
      <c r="BS9" s="42">
        <v>637717.70519999997</v>
      </c>
      <c r="BT9" s="42">
        <v>2653706.7837999999</v>
      </c>
      <c r="BU9" s="51">
        <v>-2015989.0785999999</v>
      </c>
      <c r="BV9" s="42">
        <v>654046.39899999998</v>
      </c>
      <c r="BW9" s="42">
        <v>2655094.7228000001</v>
      </c>
      <c r="BX9" s="51">
        <v>-2001048.3237999999</v>
      </c>
      <c r="BY9" s="42">
        <v>670671.43940000003</v>
      </c>
      <c r="BZ9" s="42">
        <v>2656507.8511999999</v>
      </c>
      <c r="CA9" s="51">
        <v>-1985836.4117999999</v>
      </c>
      <c r="CB9" s="42">
        <v>687153.32010000001</v>
      </c>
      <c r="CC9" s="42">
        <v>2657908.8111</v>
      </c>
      <c r="CD9" s="51">
        <v>-1970755.4909999999</v>
      </c>
      <c r="CE9" s="42">
        <v>703807.99509999994</v>
      </c>
      <c r="CF9" s="42">
        <v>2659324.4583999999</v>
      </c>
      <c r="CG9" s="51">
        <v>-1955516.4634</v>
      </c>
      <c r="CH9" s="42">
        <v>720877.55519999994</v>
      </c>
      <c r="CI9" s="42">
        <v>2660775.3711000001</v>
      </c>
      <c r="CJ9" s="51">
        <v>-1939897.8158</v>
      </c>
      <c r="CK9" s="42">
        <v>738677.18030000001</v>
      </c>
      <c r="CL9" s="42">
        <v>2662288.3391999998</v>
      </c>
      <c r="CM9" s="51">
        <v>-1923611.1588999999</v>
      </c>
      <c r="CN9" s="42">
        <v>743634.25920873135</v>
      </c>
      <c r="CO9" s="42">
        <v>2662709.6909079365</v>
      </c>
      <c r="CP9" s="51">
        <v>-1919075.4316992052</v>
      </c>
      <c r="CQ9" s="42">
        <v>758709.33414093032</v>
      </c>
      <c r="CR9" s="42">
        <v>2663991.0722797052</v>
      </c>
      <c r="CS9" s="51">
        <v>-1905281.7381387749</v>
      </c>
      <c r="CT9" s="42">
        <v>774002.42384035885</v>
      </c>
      <c r="CU9" s="42">
        <v>2665290.9849069016</v>
      </c>
      <c r="CV9" s="51">
        <v>-1891288.5610665428</v>
      </c>
      <c r="CW9" s="64">
        <f t="shared" si="0"/>
        <v>82030240.09559454</v>
      </c>
      <c r="CX9" s="42">
        <f t="shared" si="1"/>
        <v>79364949.110687643</v>
      </c>
    </row>
    <row r="10" spans="1:102" x14ac:dyDescent="0.25">
      <c r="A10" t="s">
        <v>56</v>
      </c>
      <c r="B10">
        <v>2025</v>
      </c>
      <c r="C10">
        <v>3</v>
      </c>
      <c r="D10" t="s">
        <v>347</v>
      </c>
      <c r="E10" s="42">
        <v>715578.81319999998</v>
      </c>
      <c r="F10" s="42">
        <v>4329618.9031999996</v>
      </c>
      <c r="G10" s="42">
        <v>-3614040.09</v>
      </c>
      <c r="H10" s="51">
        <v>-3971829.4965999997</v>
      </c>
      <c r="I10" s="42">
        <v>757002.27040000004</v>
      </c>
      <c r="J10" s="42">
        <v>4333139.8969999999</v>
      </c>
      <c r="K10" s="42">
        <v>-3576137.6266999999</v>
      </c>
      <c r="L10" s="51">
        <v>-3954638.7618</v>
      </c>
      <c r="M10" s="42">
        <v>793304.72030000004</v>
      </c>
      <c r="N10" s="42">
        <v>4336225.6052999999</v>
      </c>
      <c r="O10" s="42">
        <v>-3542920.8849999998</v>
      </c>
      <c r="P10" s="51">
        <v>-3939573.2451499999</v>
      </c>
      <c r="Q10" s="42">
        <v>827720.58570000005</v>
      </c>
      <c r="R10" s="42">
        <v>4339150.9539000001</v>
      </c>
      <c r="S10" s="51">
        <v>-3511430.3681000001</v>
      </c>
      <c r="T10" s="42">
        <v>860370.80350000004</v>
      </c>
      <c r="U10" s="42">
        <v>4341926.2224000003</v>
      </c>
      <c r="V10" s="51">
        <v>-3481555.4188000001</v>
      </c>
      <c r="W10" s="42">
        <v>891813.17039999994</v>
      </c>
      <c r="X10" s="42">
        <v>4344598.8234999999</v>
      </c>
      <c r="Y10" s="51">
        <v>-3452785.6531000002</v>
      </c>
      <c r="Z10" s="42">
        <v>921512.10640000005</v>
      </c>
      <c r="AA10" s="42">
        <v>4347123.2330999998</v>
      </c>
      <c r="AB10" s="51">
        <v>-3425611.1266999999</v>
      </c>
      <c r="AC10" s="42">
        <v>949101.96829999995</v>
      </c>
      <c r="AD10" s="42">
        <v>4349468.3713999996</v>
      </c>
      <c r="AE10" s="51">
        <v>-3400366.4029999999</v>
      </c>
      <c r="AF10" s="42">
        <v>975406.59979999997</v>
      </c>
      <c r="AG10" s="42">
        <v>4351704.2649999997</v>
      </c>
      <c r="AH10" s="51">
        <v>-3376297.6653</v>
      </c>
      <c r="AI10" s="42">
        <v>1001514.7291</v>
      </c>
      <c r="AJ10" s="42">
        <v>4353923.4560000002</v>
      </c>
      <c r="AK10" s="51">
        <v>-3352408.7269000001</v>
      </c>
      <c r="AL10" s="42">
        <v>1027568.6027</v>
      </c>
      <c r="AM10" s="42">
        <v>4356138.0352999996</v>
      </c>
      <c r="AN10" s="51">
        <v>-3328569.4325999999</v>
      </c>
      <c r="AO10" s="42">
        <v>1054387.9637</v>
      </c>
      <c r="AP10" s="42">
        <v>4358417.6809999999</v>
      </c>
      <c r="AQ10" s="51">
        <v>-3304029.7171999998</v>
      </c>
      <c r="AR10" s="42">
        <v>1080945.6265</v>
      </c>
      <c r="AS10" s="42">
        <v>4360675.0822999999</v>
      </c>
      <c r="AT10" s="51">
        <v>-3279729.4558000001</v>
      </c>
      <c r="AU10" s="42">
        <v>1108031.6993</v>
      </c>
      <c r="AV10" s="42">
        <v>4362977.3985000001</v>
      </c>
      <c r="AW10" s="51">
        <v>-3254945.6992000001</v>
      </c>
      <c r="AX10" s="42">
        <v>1135284.6396999999</v>
      </c>
      <c r="AY10" s="42">
        <v>4365293.8984000003</v>
      </c>
      <c r="AZ10" s="51">
        <v>-3230009.2587000001</v>
      </c>
      <c r="BA10" s="42">
        <v>1163247.5686999999</v>
      </c>
      <c r="BB10" s="42">
        <v>4367670.7473999998</v>
      </c>
      <c r="BC10" s="51">
        <v>-3204423.1787</v>
      </c>
      <c r="BD10" s="42">
        <v>1192046.6636000001</v>
      </c>
      <c r="BE10" s="42">
        <v>4370118.6705</v>
      </c>
      <c r="BF10" s="51">
        <v>-3178072.0068000001</v>
      </c>
      <c r="BG10" s="42">
        <v>1221088.6236</v>
      </c>
      <c r="BH10" s="42">
        <v>4372587.2370999996</v>
      </c>
      <c r="BI10" s="51">
        <v>-3151498.6135</v>
      </c>
      <c r="BJ10" s="42">
        <v>1249691.0774000001</v>
      </c>
      <c r="BK10" s="42">
        <v>4375018.4456000002</v>
      </c>
      <c r="BL10" s="51">
        <v>-3125327.3681999999</v>
      </c>
      <c r="BM10" s="42">
        <v>1278717.0833000001</v>
      </c>
      <c r="BN10" s="42">
        <v>4377485.6561000003</v>
      </c>
      <c r="BO10" s="51">
        <v>-3098768.5728000002</v>
      </c>
      <c r="BP10" s="42">
        <v>1307645.5183000001</v>
      </c>
      <c r="BQ10" s="42">
        <v>4379944.5730999997</v>
      </c>
      <c r="BR10" s="51">
        <v>-3072299.0548</v>
      </c>
      <c r="BS10" s="42">
        <v>1335671.2390999999</v>
      </c>
      <c r="BT10" s="42">
        <v>4382326.7593999999</v>
      </c>
      <c r="BU10" s="51">
        <v>-3046655.5203</v>
      </c>
      <c r="BV10" s="42">
        <v>1362554.8829999999</v>
      </c>
      <c r="BW10" s="42">
        <v>4384611.8690999998</v>
      </c>
      <c r="BX10" s="51">
        <v>-3022056.9860999999</v>
      </c>
      <c r="BY10" s="42">
        <v>1389374.2439999999</v>
      </c>
      <c r="BZ10" s="42">
        <v>4386891.5148</v>
      </c>
      <c r="CA10" s="51">
        <v>-2997517.2708000001</v>
      </c>
      <c r="CB10" s="42">
        <v>1415368.8483</v>
      </c>
      <c r="CC10" s="42">
        <v>4389101.0562000005</v>
      </c>
      <c r="CD10" s="51">
        <v>-2973732.2078</v>
      </c>
      <c r="CE10" s="42">
        <v>1441490.6583</v>
      </c>
      <c r="CF10" s="42">
        <v>4391321.41</v>
      </c>
      <c r="CG10" s="51">
        <v>-2949830.7516999999</v>
      </c>
      <c r="CH10" s="42">
        <v>1468125.0415000001</v>
      </c>
      <c r="CI10" s="42">
        <v>4393585.3326000003</v>
      </c>
      <c r="CJ10" s="51">
        <v>-2925460.2911</v>
      </c>
      <c r="CK10" s="42">
        <v>1495151.8451</v>
      </c>
      <c r="CL10" s="42">
        <v>4395882.6108999997</v>
      </c>
      <c r="CM10" s="51">
        <v>-2900730.7658000002</v>
      </c>
      <c r="CN10" s="42">
        <v>1530425.0478428528</v>
      </c>
      <c r="CO10" s="42">
        <v>4398880.8331246041</v>
      </c>
      <c r="CP10" s="51">
        <v>-2868455.7852817513</v>
      </c>
      <c r="CQ10" s="42">
        <v>1556486.3287950158</v>
      </c>
      <c r="CR10" s="42">
        <v>4401096.0420066901</v>
      </c>
      <c r="CS10" s="51">
        <v>-2844609.7132116742</v>
      </c>
      <c r="CT10" s="42">
        <v>1583091.1922431663</v>
      </c>
      <c r="CU10" s="42">
        <v>4403357.4553963393</v>
      </c>
      <c r="CV10" s="51">
        <v>-2820266.263153173</v>
      </c>
      <c r="CW10" s="64">
        <f t="shared" si="0"/>
        <v>135400262.03962764</v>
      </c>
      <c r="CX10" s="42">
        <f t="shared" si="1"/>
        <v>130996904.5842313</v>
      </c>
    </row>
    <row r="11" spans="1:102" x14ac:dyDescent="0.25">
      <c r="A11" t="s">
        <v>91</v>
      </c>
      <c r="B11">
        <v>2025</v>
      </c>
      <c r="C11">
        <v>0</v>
      </c>
      <c r="E11" s="42">
        <v>78948.868199999997</v>
      </c>
      <c r="F11" s="42">
        <v>1122254.3543</v>
      </c>
      <c r="G11" s="42">
        <v>-1043305.4861</v>
      </c>
      <c r="H11" s="51">
        <v>-1082779.9202000001</v>
      </c>
      <c r="I11" s="42">
        <v>79033.839699999997</v>
      </c>
      <c r="J11" s="42">
        <v>1122262.0016999999</v>
      </c>
      <c r="K11" s="42">
        <v>-1043228.162</v>
      </c>
      <c r="L11" s="51">
        <v>-1082745.08185</v>
      </c>
      <c r="M11" s="42">
        <v>79090.487399999998</v>
      </c>
      <c r="N11" s="42">
        <v>1122267.1000000001</v>
      </c>
      <c r="O11" s="42">
        <v>-1043176.6126</v>
      </c>
      <c r="P11" s="51">
        <v>-1082721.8563000001</v>
      </c>
      <c r="Q11" s="42">
        <v>79175.458899999998</v>
      </c>
      <c r="R11" s="42">
        <v>1122274.7475000001</v>
      </c>
      <c r="S11" s="51">
        <v>-1043099.2886</v>
      </c>
      <c r="T11" s="42">
        <v>79260.430399999997</v>
      </c>
      <c r="U11" s="42">
        <v>1122282.3949</v>
      </c>
      <c r="V11" s="51">
        <v>-1043021.9645</v>
      </c>
      <c r="W11" s="42">
        <v>79345.401899999997</v>
      </c>
      <c r="X11" s="42">
        <v>1122290.0423000001</v>
      </c>
      <c r="Y11" s="51">
        <v>-1042944.6404</v>
      </c>
      <c r="Z11" s="42">
        <v>79402.049599999998</v>
      </c>
      <c r="AA11" s="42">
        <v>1122295.1406</v>
      </c>
      <c r="AB11" s="51">
        <v>-1042893.091</v>
      </c>
      <c r="AC11" s="42">
        <v>79487.021099999998</v>
      </c>
      <c r="AD11" s="42">
        <v>1122302.7881</v>
      </c>
      <c r="AE11" s="51">
        <v>-1042815.7669</v>
      </c>
      <c r="AF11" s="42">
        <v>79571.992599999998</v>
      </c>
      <c r="AG11" s="42">
        <v>1122310.4354999999</v>
      </c>
      <c r="AH11" s="51">
        <v>-1042738.4429</v>
      </c>
      <c r="AI11" s="42">
        <v>79656.964099999997</v>
      </c>
      <c r="AJ11" s="42">
        <v>1122318.0829</v>
      </c>
      <c r="AK11" s="51">
        <v>-1042661.1188000001</v>
      </c>
      <c r="AL11" s="42">
        <v>79741.935700000002</v>
      </c>
      <c r="AM11" s="42">
        <v>1122325.7304</v>
      </c>
      <c r="AN11" s="51">
        <v>-1042583.7947</v>
      </c>
      <c r="AO11" s="42">
        <v>79798.583299999998</v>
      </c>
      <c r="AP11" s="42">
        <v>1122330.8287</v>
      </c>
      <c r="AQ11" s="51">
        <v>-1042532.2453</v>
      </c>
      <c r="AR11" s="42">
        <v>79883.554799999998</v>
      </c>
      <c r="AS11" s="42">
        <v>1122338.4761000001</v>
      </c>
      <c r="AT11" s="51">
        <v>-1042454.9213</v>
      </c>
      <c r="AU11" s="42">
        <v>79968.526400000002</v>
      </c>
      <c r="AV11" s="42">
        <v>1122346.1235</v>
      </c>
      <c r="AW11" s="51">
        <v>-1042377.5972</v>
      </c>
      <c r="AX11" s="42">
        <v>80053.497900000002</v>
      </c>
      <c r="AY11" s="42">
        <v>1122353.7709999999</v>
      </c>
      <c r="AZ11" s="51">
        <v>-1042300.2731</v>
      </c>
      <c r="BA11" s="42">
        <v>80138.469400000002</v>
      </c>
      <c r="BB11" s="42">
        <v>1122361.4184000001</v>
      </c>
      <c r="BC11" s="51">
        <v>-1042222.949</v>
      </c>
      <c r="BD11" s="42">
        <v>80223.440900000001</v>
      </c>
      <c r="BE11" s="42">
        <v>1122369.0658</v>
      </c>
      <c r="BF11" s="51">
        <v>-1042145.6249000001</v>
      </c>
      <c r="BG11" s="42">
        <v>80308.412400000001</v>
      </c>
      <c r="BH11" s="42">
        <v>1122376.7132999999</v>
      </c>
      <c r="BI11" s="51">
        <v>-1042068.3009</v>
      </c>
      <c r="BJ11" s="42">
        <v>80393.383900000001</v>
      </c>
      <c r="BK11" s="42">
        <v>1122384.3607000001</v>
      </c>
      <c r="BL11" s="51">
        <v>-1041990.9767999999</v>
      </c>
      <c r="BM11" s="42">
        <v>80478.3554</v>
      </c>
      <c r="BN11" s="42">
        <v>1122392.0081</v>
      </c>
      <c r="BO11" s="51">
        <v>-1041913.6527</v>
      </c>
      <c r="BP11" s="42">
        <v>80563.3269</v>
      </c>
      <c r="BQ11" s="42">
        <v>1122399.6555999999</v>
      </c>
      <c r="BR11" s="51">
        <v>-1041836.3286</v>
      </c>
      <c r="BS11" s="42">
        <v>80648.298500000004</v>
      </c>
      <c r="BT11" s="42">
        <v>1122407.3030000001</v>
      </c>
      <c r="BU11" s="51">
        <v>-1041759.0046</v>
      </c>
      <c r="BV11" s="42">
        <v>80733.27</v>
      </c>
      <c r="BW11" s="42">
        <v>1122414.9505</v>
      </c>
      <c r="BX11" s="51">
        <v>-1041681.6805</v>
      </c>
      <c r="BY11" s="42">
        <v>80818.241500000004</v>
      </c>
      <c r="BZ11" s="42">
        <v>1122422.5978999999</v>
      </c>
      <c r="CA11" s="51">
        <v>-1041604.3564</v>
      </c>
      <c r="CB11" s="42">
        <v>80903.213000000003</v>
      </c>
      <c r="CC11" s="42">
        <v>1122430.2453000001</v>
      </c>
      <c r="CD11" s="51">
        <v>-1041527.0323</v>
      </c>
      <c r="CE11" s="42">
        <v>80988.184500000003</v>
      </c>
      <c r="CF11" s="42">
        <v>1122437.8928</v>
      </c>
      <c r="CG11" s="51">
        <v>-1041449.7083000001</v>
      </c>
      <c r="CH11" s="42">
        <v>81073.156000000003</v>
      </c>
      <c r="CI11" s="42">
        <v>1122445.5401999999</v>
      </c>
      <c r="CJ11" s="51">
        <v>-1041372.3842</v>
      </c>
      <c r="CK11" s="42">
        <v>81174.609200000006</v>
      </c>
      <c r="CL11" s="42">
        <v>1122454.6710000001</v>
      </c>
      <c r="CM11" s="51">
        <v>-1041280.0618</v>
      </c>
      <c r="CN11" s="42">
        <v>81222.974337301581</v>
      </c>
      <c r="CO11" s="42">
        <v>1122459.0238547619</v>
      </c>
      <c r="CP11" s="51">
        <v>-1041236.0495174603</v>
      </c>
      <c r="CQ11" s="42">
        <v>81307.412801360551</v>
      </c>
      <c r="CR11" s="42">
        <v>1122466.6233173469</v>
      </c>
      <c r="CS11" s="51">
        <v>-1041159.2105159863</v>
      </c>
      <c r="CT11" s="42">
        <v>81392.609211576317</v>
      </c>
      <c r="CU11" s="42">
        <v>1122474.2909924062</v>
      </c>
      <c r="CV11" s="51">
        <v>-1041081.6817808299</v>
      </c>
      <c r="CW11" s="64">
        <f t="shared" si="0"/>
        <v>34793248.378264517</v>
      </c>
      <c r="CX11" s="42">
        <f t="shared" si="1"/>
        <v>33670774.087272108</v>
      </c>
    </row>
    <row r="12" spans="1:102" x14ac:dyDescent="0.25">
      <c r="A12" t="s">
        <v>154</v>
      </c>
      <c r="B12">
        <v>2025</v>
      </c>
      <c r="C12">
        <v>0</v>
      </c>
      <c r="E12" s="42">
        <v>78948.868199999997</v>
      </c>
      <c r="F12" s="42">
        <v>1331907.3647</v>
      </c>
      <c r="G12" s="42">
        <v>-1252958.4964999999</v>
      </c>
      <c r="H12" s="51">
        <v>-1292432.9306000001</v>
      </c>
      <c r="I12" s="42">
        <v>79118.811199999996</v>
      </c>
      <c r="J12" s="42">
        <v>1331922.6595999999</v>
      </c>
      <c r="K12" s="42">
        <v>-1252803.8483</v>
      </c>
      <c r="L12" s="51">
        <v>-1292363.254</v>
      </c>
      <c r="M12" s="42">
        <v>79317.078099999999</v>
      </c>
      <c r="N12" s="42">
        <v>1331940.5035999999</v>
      </c>
      <c r="O12" s="42">
        <v>-1252623.4254999999</v>
      </c>
      <c r="P12" s="51">
        <v>-1292281.9645499999</v>
      </c>
      <c r="Q12" s="42">
        <v>79515.345000000001</v>
      </c>
      <c r="R12" s="42">
        <v>1331958.3476</v>
      </c>
      <c r="S12" s="51">
        <v>-1252443.0027000001</v>
      </c>
      <c r="T12" s="42">
        <v>79685.288</v>
      </c>
      <c r="U12" s="42">
        <v>1331973.6425000001</v>
      </c>
      <c r="V12" s="51">
        <v>-1252288.3544999999</v>
      </c>
      <c r="W12" s="42">
        <v>79883.554799999998</v>
      </c>
      <c r="X12" s="42">
        <v>1331991.4865000001</v>
      </c>
      <c r="Y12" s="51">
        <v>-1252107.9317000001</v>
      </c>
      <c r="Z12" s="42">
        <v>80081.8217</v>
      </c>
      <c r="AA12" s="42">
        <v>1332009.3304999999</v>
      </c>
      <c r="AB12" s="51">
        <v>-1251927.5088</v>
      </c>
      <c r="AC12" s="42">
        <v>80280.088600000003</v>
      </c>
      <c r="AD12" s="42">
        <v>1332027.1745</v>
      </c>
      <c r="AE12" s="51">
        <v>-1251747.0859999999</v>
      </c>
      <c r="AF12" s="42">
        <v>80478.3554</v>
      </c>
      <c r="AG12" s="42">
        <v>1332045.0186000001</v>
      </c>
      <c r="AH12" s="51">
        <v>-1251566.6631</v>
      </c>
      <c r="AI12" s="42">
        <v>80676.622300000003</v>
      </c>
      <c r="AJ12" s="42">
        <v>1332062.8626000001</v>
      </c>
      <c r="AK12" s="51">
        <v>-1251386.2402999999</v>
      </c>
      <c r="AL12" s="42">
        <v>80874.889200000005</v>
      </c>
      <c r="AM12" s="42">
        <v>1332080.7065999999</v>
      </c>
      <c r="AN12" s="51">
        <v>-1251205.8174000001</v>
      </c>
      <c r="AO12" s="42">
        <v>81101.479900000006</v>
      </c>
      <c r="AP12" s="42">
        <v>1332101.0998</v>
      </c>
      <c r="AQ12" s="51">
        <v>-1250999.6199</v>
      </c>
      <c r="AR12" s="42">
        <v>81316.228400000007</v>
      </c>
      <c r="AS12" s="42">
        <v>1332120.4271</v>
      </c>
      <c r="AT12" s="51">
        <v>-1250804.1987000001</v>
      </c>
      <c r="AU12" s="42">
        <v>81542.819099999993</v>
      </c>
      <c r="AV12" s="42">
        <v>1332140.8203</v>
      </c>
      <c r="AW12" s="51">
        <v>-1250598.0012000001</v>
      </c>
      <c r="AX12" s="42">
        <v>81741.085999999996</v>
      </c>
      <c r="AY12" s="42">
        <v>1332158.6643000001</v>
      </c>
      <c r="AZ12" s="51">
        <v>-1250417.5782999999</v>
      </c>
      <c r="BA12" s="42">
        <v>81967.676699999996</v>
      </c>
      <c r="BB12" s="42">
        <v>1332179.0575000001</v>
      </c>
      <c r="BC12" s="51">
        <v>-1250211.3807999999</v>
      </c>
      <c r="BD12" s="42">
        <v>82194.267399999997</v>
      </c>
      <c r="BE12" s="42">
        <v>1332199.4506000001</v>
      </c>
      <c r="BF12" s="51">
        <v>-1250005.1832999999</v>
      </c>
      <c r="BG12" s="42">
        <v>82420.858099999998</v>
      </c>
      <c r="BH12" s="42">
        <v>1332219.8437999999</v>
      </c>
      <c r="BI12" s="51">
        <v>-1249798.9857000001</v>
      </c>
      <c r="BJ12" s="42">
        <v>82647.448799999998</v>
      </c>
      <c r="BK12" s="42">
        <v>1332240.237</v>
      </c>
      <c r="BL12" s="51">
        <v>-1249592.7882000001</v>
      </c>
      <c r="BM12" s="42">
        <v>82874.039499999999</v>
      </c>
      <c r="BN12" s="42">
        <v>1332260.6301</v>
      </c>
      <c r="BO12" s="51">
        <v>-1249386.5907000001</v>
      </c>
      <c r="BP12" s="42">
        <v>83100.6302</v>
      </c>
      <c r="BQ12" s="42">
        <v>1332281.0233</v>
      </c>
      <c r="BR12" s="51">
        <v>-1249180.3931</v>
      </c>
      <c r="BS12" s="42">
        <v>83355.544699999999</v>
      </c>
      <c r="BT12" s="42">
        <v>1332303.9656</v>
      </c>
      <c r="BU12" s="51">
        <v>-1248948.4209</v>
      </c>
      <c r="BV12" s="42">
        <v>83582.135399999999</v>
      </c>
      <c r="BW12" s="42">
        <v>1332324.3588</v>
      </c>
      <c r="BX12" s="51">
        <v>-1248742.2234</v>
      </c>
      <c r="BY12" s="42">
        <v>83837.049899999998</v>
      </c>
      <c r="BZ12" s="42">
        <v>1332347.3011</v>
      </c>
      <c r="CA12" s="51">
        <v>-1248510.2511</v>
      </c>
      <c r="CB12" s="42">
        <v>84063.640599999999</v>
      </c>
      <c r="CC12" s="42">
        <v>1332367.6942</v>
      </c>
      <c r="CD12" s="51">
        <v>-1248304.0536</v>
      </c>
      <c r="CE12" s="42">
        <v>84318.555200000003</v>
      </c>
      <c r="CF12" s="42">
        <v>1332390.6365</v>
      </c>
      <c r="CG12" s="51">
        <v>-1248072.0814</v>
      </c>
      <c r="CH12" s="42">
        <v>84573.469700000001</v>
      </c>
      <c r="CI12" s="42">
        <v>1332413.5788</v>
      </c>
      <c r="CJ12" s="51">
        <v>-1247840.1091</v>
      </c>
      <c r="CK12" s="42">
        <v>84828.3842</v>
      </c>
      <c r="CL12" s="42">
        <v>1332436.5212000001</v>
      </c>
      <c r="CM12" s="51">
        <v>-1247608.1369</v>
      </c>
      <c r="CN12" s="42">
        <v>84883.557259523834</v>
      </c>
      <c r="CO12" s="42">
        <v>1332441.4867285716</v>
      </c>
      <c r="CP12" s="51">
        <v>-1247557.9294690478</v>
      </c>
      <c r="CQ12" s="42">
        <v>85114.245167233574</v>
      </c>
      <c r="CR12" s="42">
        <v>1332462.2486397962</v>
      </c>
      <c r="CS12" s="51">
        <v>-1247348.0034725626</v>
      </c>
      <c r="CT12" s="42">
        <v>85344.275323191367</v>
      </c>
      <c r="CU12" s="42">
        <v>1332482.9513555721</v>
      </c>
      <c r="CV12" s="51">
        <v>-1247138.6760323807</v>
      </c>
      <c r="CW12" s="64">
        <f t="shared" si="0"/>
        <v>41297791.094023943</v>
      </c>
      <c r="CX12" s="42">
        <f t="shared" si="1"/>
        <v>39965308.142668374</v>
      </c>
    </row>
    <row r="13" spans="1:102" x14ac:dyDescent="0.25">
      <c r="A13" t="s">
        <v>63</v>
      </c>
      <c r="B13">
        <v>2025</v>
      </c>
      <c r="C13">
        <v>3</v>
      </c>
      <c r="E13" s="42">
        <v>1026509.9381</v>
      </c>
      <c r="F13" s="42">
        <v>1679346.8485000001</v>
      </c>
      <c r="G13" s="42">
        <v>-652836.91040000005</v>
      </c>
      <c r="H13" s="51">
        <v>-1166091.8794500001</v>
      </c>
      <c r="I13" s="42">
        <v>1058801.1893</v>
      </c>
      <c r="J13" s="42">
        <v>1682253.0611</v>
      </c>
      <c r="K13" s="42">
        <v>-623451.87179999996</v>
      </c>
      <c r="L13" s="51">
        <v>-1152852.4664500002</v>
      </c>
      <c r="M13" s="42">
        <v>1083015.5072000001</v>
      </c>
      <c r="N13" s="42">
        <v>1684432.3496999999</v>
      </c>
      <c r="O13" s="42">
        <v>-601416.84250000003</v>
      </c>
      <c r="P13" s="51">
        <v>-1142924.5960999997</v>
      </c>
      <c r="Q13" s="42">
        <v>1107229.8252000001</v>
      </c>
      <c r="R13" s="42">
        <v>1686611.6383</v>
      </c>
      <c r="S13" s="51">
        <v>-579381.81310000003</v>
      </c>
      <c r="T13" s="42">
        <v>1131444.1431</v>
      </c>
      <c r="U13" s="42">
        <v>1688790.9269000001</v>
      </c>
      <c r="V13" s="51">
        <v>-557346.78379999998</v>
      </c>
      <c r="W13" s="42">
        <v>1155674.9427</v>
      </c>
      <c r="X13" s="42">
        <v>1690971.6989</v>
      </c>
      <c r="Y13" s="51">
        <v>-535296.75619999995</v>
      </c>
      <c r="Z13" s="42">
        <v>1179889.2607</v>
      </c>
      <c r="AA13" s="42">
        <v>1693150.9875</v>
      </c>
      <c r="AB13" s="51">
        <v>-513261.7268</v>
      </c>
      <c r="AC13" s="42">
        <v>1204103.5785999999</v>
      </c>
      <c r="AD13" s="42">
        <v>1695330.2760999999</v>
      </c>
      <c r="AE13" s="51">
        <v>-491226.69750000001</v>
      </c>
      <c r="AF13" s="42">
        <v>1228317.8966000001</v>
      </c>
      <c r="AG13" s="42">
        <v>1697509.5647</v>
      </c>
      <c r="AH13" s="51">
        <v>-469191.66820000001</v>
      </c>
      <c r="AI13" s="42">
        <v>1252532.2145</v>
      </c>
      <c r="AJ13" s="42">
        <v>1699688.8533000001</v>
      </c>
      <c r="AK13" s="51">
        <v>-447156.63880000002</v>
      </c>
      <c r="AL13" s="42">
        <v>1276746.5323999999</v>
      </c>
      <c r="AM13" s="42">
        <v>1701868.142</v>
      </c>
      <c r="AN13" s="51">
        <v>-425121.60950000002</v>
      </c>
      <c r="AO13" s="42">
        <v>1300977.3321</v>
      </c>
      <c r="AP13" s="42">
        <v>1704048.9139</v>
      </c>
      <c r="AQ13" s="51">
        <v>-403071.58179999999</v>
      </c>
      <c r="AR13" s="42">
        <v>1325191.6499999999</v>
      </c>
      <c r="AS13" s="42">
        <v>1706228.2024999999</v>
      </c>
      <c r="AT13" s="51">
        <v>-381036.55249999999</v>
      </c>
      <c r="AU13" s="42">
        <v>1349405.9680000001</v>
      </c>
      <c r="AV13" s="42">
        <v>1708407.4911</v>
      </c>
      <c r="AW13" s="51">
        <v>-359001.5232</v>
      </c>
      <c r="AX13" s="42">
        <v>1373620.2859</v>
      </c>
      <c r="AY13" s="42">
        <v>1710586.7797999999</v>
      </c>
      <c r="AZ13" s="51">
        <v>-336966.4939</v>
      </c>
      <c r="BA13" s="42">
        <v>1397834.6039</v>
      </c>
      <c r="BB13" s="42">
        <v>1712766.0684</v>
      </c>
      <c r="BC13" s="51">
        <v>-314931.4645</v>
      </c>
      <c r="BD13" s="42">
        <v>1422048.9217999999</v>
      </c>
      <c r="BE13" s="42">
        <v>1714945.3570000001</v>
      </c>
      <c r="BF13" s="51">
        <v>-292896.43520000001</v>
      </c>
      <c r="BG13" s="42">
        <v>1446279.7213999999</v>
      </c>
      <c r="BH13" s="42">
        <v>1717126.129</v>
      </c>
      <c r="BI13" s="51">
        <v>-270846.40749999997</v>
      </c>
      <c r="BJ13" s="42">
        <v>1470494.0393999999</v>
      </c>
      <c r="BK13" s="42">
        <v>1719305.4176</v>
      </c>
      <c r="BL13" s="51">
        <v>-248811.37820000001</v>
      </c>
      <c r="BM13" s="42">
        <v>1494708.3573</v>
      </c>
      <c r="BN13" s="42">
        <v>1721484.7061999999</v>
      </c>
      <c r="BO13" s="51">
        <v>-226776.34890000001</v>
      </c>
      <c r="BP13" s="42">
        <v>1518922.6753</v>
      </c>
      <c r="BQ13" s="42">
        <v>1723663.9948</v>
      </c>
      <c r="BR13" s="51">
        <v>-204741.31950000001</v>
      </c>
      <c r="BS13" s="42">
        <v>1543136.9931999999</v>
      </c>
      <c r="BT13" s="42">
        <v>1725843.2834000001</v>
      </c>
      <c r="BU13" s="51">
        <v>-182706.29019999999</v>
      </c>
      <c r="BV13" s="42">
        <v>1567351.3112000001</v>
      </c>
      <c r="BW13" s="42">
        <v>1728022.5719999999</v>
      </c>
      <c r="BX13" s="51">
        <v>-160671.26089999999</v>
      </c>
      <c r="BY13" s="42">
        <v>1591582.1107999999</v>
      </c>
      <c r="BZ13" s="42">
        <v>1730203.344</v>
      </c>
      <c r="CA13" s="51">
        <v>-138621.23319999999</v>
      </c>
      <c r="CB13" s="42">
        <v>1615796.4287</v>
      </c>
      <c r="CC13" s="42">
        <v>1732382.6325999999</v>
      </c>
      <c r="CD13" s="51">
        <v>-116586.20389999999</v>
      </c>
      <c r="CE13" s="42">
        <v>1640010.7467</v>
      </c>
      <c r="CF13" s="42">
        <v>1734561.9212</v>
      </c>
      <c r="CG13" s="51">
        <v>-94551.174599999998</v>
      </c>
      <c r="CH13" s="42">
        <v>1664225.0645999999</v>
      </c>
      <c r="CI13" s="42">
        <v>1736741.2098000001</v>
      </c>
      <c r="CJ13" s="51">
        <v>-72516.145199999999</v>
      </c>
      <c r="CK13" s="42">
        <v>1688439.3825999999</v>
      </c>
      <c r="CL13" s="42">
        <v>1738920.4985</v>
      </c>
      <c r="CM13" s="51">
        <v>-50481.115899999997</v>
      </c>
      <c r="CN13" s="42">
        <v>1713237.1646666676</v>
      </c>
      <c r="CO13" s="42">
        <v>1741152.2988365078</v>
      </c>
      <c r="CP13" s="51">
        <v>-27915.134169840254</v>
      </c>
      <c r="CQ13" s="42">
        <v>1736960.003743656</v>
      </c>
      <c r="CR13" s="42">
        <v>1743287.3543544211</v>
      </c>
      <c r="CS13" s="51">
        <v>-6327.3506107651629</v>
      </c>
      <c r="CT13" s="42">
        <v>1761184.4014620632</v>
      </c>
      <c r="CU13" s="42">
        <v>1745467.5501500014</v>
      </c>
      <c r="CV13" s="51">
        <v>15716.851312061772</v>
      </c>
      <c r="CW13" s="64">
        <f t="shared" si="0"/>
        <v>53095100.072140917</v>
      </c>
      <c r="CX13" s="42">
        <f t="shared" si="1"/>
        <v>51349632.521990918</v>
      </c>
    </row>
    <row r="14" spans="1:102" x14ac:dyDescent="0.25">
      <c r="A14" t="s">
        <v>157</v>
      </c>
      <c r="B14">
        <v>2025</v>
      </c>
      <c r="C14">
        <v>0</v>
      </c>
      <c r="E14" s="42">
        <v>78948.868199999997</v>
      </c>
      <c r="F14" s="42">
        <v>1331907.3647</v>
      </c>
      <c r="G14" s="42">
        <v>-1252958.4964999999</v>
      </c>
      <c r="H14" s="51">
        <v>-1292432.9306000001</v>
      </c>
      <c r="I14" s="42">
        <v>79090.487399999998</v>
      </c>
      <c r="J14" s="42">
        <v>1331920.1103999999</v>
      </c>
      <c r="K14" s="42">
        <v>-1252829.6229999999</v>
      </c>
      <c r="L14" s="51">
        <v>-1292374.8666999999</v>
      </c>
      <c r="M14" s="42">
        <v>79260.430399999997</v>
      </c>
      <c r="N14" s="42">
        <v>1331935.4053</v>
      </c>
      <c r="O14" s="42">
        <v>-1252674.9749</v>
      </c>
      <c r="P14" s="51">
        <v>-1292305.1901</v>
      </c>
      <c r="Q14" s="42">
        <v>79402.049599999998</v>
      </c>
      <c r="R14" s="42">
        <v>1331948.1510000001</v>
      </c>
      <c r="S14" s="51">
        <v>-1252546.1014</v>
      </c>
      <c r="T14" s="42">
        <v>79571.992599999998</v>
      </c>
      <c r="U14" s="42">
        <v>1331963.4458999999</v>
      </c>
      <c r="V14" s="51">
        <v>-1252391.4532999999</v>
      </c>
      <c r="W14" s="42">
        <v>79741.935700000002</v>
      </c>
      <c r="X14" s="42">
        <v>1331978.7408</v>
      </c>
      <c r="Y14" s="51">
        <v>-1252236.8051</v>
      </c>
      <c r="Z14" s="42">
        <v>79883.554799999998</v>
      </c>
      <c r="AA14" s="42">
        <v>1331991.4865000001</v>
      </c>
      <c r="AB14" s="51">
        <v>-1252107.9317000001</v>
      </c>
      <c r="AC14" s="42">
        <v>80053.497900000002</v>
      </c>
      <c r="AD14" s="42">
        <v>1332006.7814</v>
      </c>
      <c r="AE14" s="51">
        <v>-1251953.2834999999</v>
      </c>
      <c r="AF14" s="42">
        <v>80223.440900000001</v>
      </c>
      <c r="AG14" s="42">
        <v>1332022.0762</v>
      </c>
      <c r="AH14" s="51">
        <v>-1251798.6354</v>
      </c>
      <c r="AI14" s="42">
        <v>80393.383900000001</v>
      </c>
      <c r="AJ14" s="42">
        <v>1332037.3711000001</v>
      </c>
      <c r="AK14" s="51">
        <v>-1251643.9872000001</v>
      </c>
      <c r="AL14" s="42">
        <v>80563.3269</v>
      </c>
      <c r="AM14" s="42">
        <v>1332052.666</v>
      </c>
      <c r="AN14" s="51">
        <v>-1251489.3391</v>
      </c>
      <c r="AO14" s="42">
        <v>80733.27</v>
      </c>
      <c r="AP14" s="42">
        <v>1332067.9609000001</v>
      </c>
      <c r="AQ14" s="51">
        <v>-1251334.6909</v>
      </c>
      <c r="AR14" s="42">
        <v>80903.213000000003</v>
      </c>
      <c r="AS14" s="42">
        <v>1332083.2557000001</v>
      </c>
      <c r="AT14" s="51">
        <v>-1251180.0427000001</v>
      </c>
      <c r="AU14" s="42">
        <v>81073.156000000003</v>
      </c>
      <c r="AV14" s="42">
        <v>1332098.5506</v>
      </c>
      <c r="AW14" s="51">
        <v>-1251025.3946</v>
      </c>
      <c r="AX14" s="42">
        <v>81259.580700000006</v>
      </c>
      <c r="AY14" s="42">
        <v>1332115.3288</v>
      </c>
      <c r="AZ14" s="51">
        <v>-1250855.7481</v>
      </c>
      <c r="BA14" s="42">
        <v>81457.847599999994</v>
      </c>
      <c r="BB14" s="42">
        <v>1332133.1728999999</v>
      </c>
      <c r="BC14" s="51">
        <v>-1250675.3252999999</v>
      </c>
      <c r="BD14" s="42">
        <v>81627.790599999993</v>
      </c>
      <c r="BE14" s="42">
        <v>1332148.4676999999</v>
      </c>
      <c r="BF14" s="51">
        <v>-1250520.6771</v>
      </c>
      <c r="BG14" s="42">
        <v>81826.057499999995</v>
      </c>
      <c r="BH14" s="42">
        <v>1332166.3117</v>
      </c>
      <c r="BI14" s="51">
        <v>-1250340.2542999999</v>
      </c>
      <c r="BJ14" s="42">
        <v>81996.000499999995</v>
      </c>
      <c r="BK14" s="42">
        <v>1332181.6066000001</v>
      </c>
      <c r="BL14" s="51">
        <v>-1250185.6061</v>
      </c>
      <c r="BM14" s="42">
        <v>82194.267399999997</v>
      </c>
      <c r="BN14" s="42">
        <v>1332199.4506000001</v>
      </c>
      <c r="BO14" s="51">
        <v>-1250005.1832999999</v>
      </c>
      <c r="BP14" s="42">
        <v>82364.210399999996</v>
      </c>
      <c r="BQ14" s="42">
        <v>1332214.7455</v>
      </c>
      <c r="BR14" s="51">
        <v>-1249850.5351</v>
      </c>
      <c r="BS14" s="42">
        <v>82562.477199999994</v>
      </c>
      <c r="BT14" s="42">
        <v>1332232.5895</v>
      </c>
      <c r="BU14" s="51">
        <v>-1249670.1122999999</v>
      </c>
      <c r="BV14" s="42">
        <v>82760.744099999996</v>
      </c>
      <c r="BW14" s="42">
        <v>1332250.4335</v>
      </c>
      <c r="BX14" s="51">
        <v>-1249489.6894</v>
      </c>
      <c r="BY14" s="42">
        <v>82959.010999999999</v>
      </c>
      <c r="BZ14" s="42">
        <v>1332268.2775999999</v>
      </c>
      <c r="CA14" s="51">
        <v>-1249309.2666</v>
      </c>
      <c r="CB14" s="42">
        <v>83157.277799999996</v>
      </c>
      <c r="CC14" s="42">
        <v>1332286.1216</v>
      </c>
      <c r="CD14" s="51">
        <v>-1249128.8437000001</v>
      </c>
      <c r="CE14" s="42">
        <v>83355.544699999999</v>
      </c>
      <c r="CF14" s="42">
        <v>1332303.9656</v>
      </c>
      <c r="CG14" s="51">
        <v>-1248948.4209</v>
      </c>
      <c r="CH14" s="42">
        <v>83553.811600000001</v>
      </c>
      <c r="CI14" s="42">
        <v>1332321.8096</v>
      </c>
      <c r="CJ14" s="51">
        <v>-1248767.9979999999</v>
      </c>
      <c r="CK14" s="42">
        <v>83752.078399999999</v>
      </c>
      <c r="CL14" s="42">
        <v>1332339.6536000001</v>
      </c>
      <c r="CM14" s="51">
        <v>-1248587.5752000001</v>
      </c>
      <c r="CN14" s="42">
        <v>83823.420000793703</v>
      </c>
      <c r="CO14" s="42">
        <v>1332346.0743634922</v>
      </c>
      <c r="CP14" s="51">
        <v>-1248522.6543626986</v>
      </c>
      <c r="CQ14" s="42">
        <v>84011.046470748261</v>
      </c>
      <c r="CR14" s="42">
        <v>1332362.9607463719</v>
      </c>
      <c r="CS14" s="51">
        <v>-1248351.9142756236</v>
      </c>
      <c r="CT14" s="42">
        <v>84198.029422118736</v>
      </c>
      <c r="CU14" s="42">
        <v>1332379.7892104287</v>
      </c>
      <c r="CV14" s="51">
        <v>-1248181.7597883099</v>
      </c>
      <c r="CW14" s="64">
        <f t="shared" si="0"/>
        <v>41296264.125620298</v>
      </c>
      <c r="CX14" s="42">
        <f t="shared" si="1"/>
        <v>39963884.336409867</v>
      </c>
    </row>
    <row r="15" spans="1:102" x14ac:dyDescent="0.25">
      <c r="A15" t="s">
        <v>67</v>
      </c>
      <c r="B15">
        <v>2025</v>
      </c>
      <c r="C15">
        <v>1</v>
      </c>
      <c r="E15" s="42">
        <v>205831.4841</v>
      </c>
      <c r="F15" s="42">
        <v>1116942.1797</v>
      </c>
      <c r="G15" s="42">
        <v>-911110.69559999998</v>
      </c>
      <c r="H15" s="51">
        <v>-1014026.43765</v>
      </c>
      <c r="I15" s="42">
        <v>214729.80859999999</v>
      </c>
      <c r="J15" s="42">
        <v>1117743.0289</v>
      </c>
      <c r="K15" s="42">
        <v>-903013.22030000004</v>
      </c>
      <c r="L15" s="51">
        <v>-1010378.1246</v>
      </c>
      <c r="M15" s="42">
        <v>222296.91279999999</v>
      </c>
      <c r="N15" s="42">
        <v>1118424.0682999999</v>
      </c>
      <c r="O15" s="42">
        <v>-896127.15549999999</v>
      </c>
      <c r="P15" s="51">
        <v>-1007275.6118999999</v>
      </c>
      <c r="Q15" s="42">
        <v>229252.7346</v>
      </c>
      <c r="R15" s="42">
        <v>1119050.0922999999</v>
      </c>
      <c r="S15" s="51">
        <v>-889797.35759999999</v>
      </c>
      <c r="T15" s="42">
        <v>235941.79980000001</v>
      </c>
      <c r="U15" s="42">
        <v>1119652.1081000001</v>
      </c>
      <c r="V15" s="51">
        <v>-883710.30830000003</v>
      </c>
      <c r="W15" s="42">
        <v>242331.14490000001</v>
      </c>
      <c r="X15" s="42">
        <v>1120227.1492000001</v>
      </c>
      <c r="Y15" s="51">
        <v>-877896.00430000003</v>
      </c>
      <c r="Z15" s="42">
        <v>248408.9278</v>
      </c>
      <c r="AA15" s="42">
        <v>1120774.1495999999</v>
      </c>
      <c r="AB15" s="51">
        <v>-872365.22180000006</v>
      </c>
      <c r="AC15" s="42">
        <v>254146.8247</v>
      </c>
      <c r="AD15" s="42">
        <v>1121290.5604000001</v>
      </c>
      <c r="AE15" s="51">
        <v>-867143.73569999996</v>
      </c>
      <c r="AF15" s="42">
        <v>259289.9209</v>
      </c>
      <c r="AG15" s="42">
        <v>1121753.439</v>
      </c>
      <c r="AH15" s="51">
        <v>-862463.51809999999</v>
      </c>
      <c r="AI15" s="42">
        <v>264449.49890000001</v>
      </c>
      <c r="AJ15" s="42">
        <v>1122217.801</v>
      </c>
      <c r="AK15" s="51">
        <v>-857768.30209999997</v>
      </c>
      <c r="AL15" s="42">
        <v>269620.91899999999</v>
      </c>
      <c r="AM15" s="42">
        <v>1122683.2289</v>
      </c>
      <c r="AN15" s="51">
        <v>-853062.30989999999</v>
      </c>
      <c r="AO15" s="42">
        <v>274905.63449999999</v>
      </c>
      <c r="AP15" s="42">
        <v>1123158.8532</v>
      </c>
      <c r="AQ15" s="51">
        <v>-848253.21880000003</v>
      </c>
      <c r="AR15" s="42">
        <v>280048.73070000001</v>
      </c>
      <c r="AS15" s="42">
        <v>1123621.7319</v>
      </c>
      <c r="AT15" s="51">
        <v>-843573.00120000006</v>
      </c>
      <c r="AU15" s="42">
        <v>285248.47470000002</v>
      </c>
      <c r="AV15" s="42">
        <v>1124089.7089</v>
      </c>
      <c r="AW15" s="51">
        <v>-838841.23419999995</v>
      </c>
      <c r="AX15" s="42">
        <v>290533.19010000001</v>
      </c>
      <c r="AY15" s="42">
        <v>1124565.3333000001</v>
      </c>
      <c r="AZ15" s="51">
        <v>-834032.14309999999</v>
      </c>
      <c r="BA15" s="42">
        <v>295874.55320000002</v>
      </c>
      <c r="BB15" s="42">
        <v>1125046.0559</v>
      </c>
      <c r="BC15" s="51">
        <v>-829171.50269999995</v>
      </c>
      <c r="BD15" s="42">
        <v>301045.97330000001</v>
      </c>
      <c r="BE15" s="42">
        <v>1125511.4837</v>
      </c>
      <c r="BF15" s="51">
        <v>-824465.51040000003</v>
      </c>
      <c r="BG15" s="42">
        <v>306460.46580000001</v>
      </c>
      <c r="BH15" s="42">
        <v>1125998.7881</v>
      </c>
      <c r="BI15" s="51">
        <v>-819538.32220000005</v>
      </c>
      <c r="BJ15" s="42">
        <v>311745.1813</v>
      </c>
      <c r="BK15" s="42">
        <v>1126474.4125000001</v>
      </c>
      <c r="BL15" s="51">
        <v>-814729.23120000004</v>
      </c>
      <c r="BM15" s="42">
        <v>317058.2206</v>
      </c>
      <c r="BN15" s="42">
        <v>1126952.5859999999</v>
      </c>
      <c r="BO15" s="51">
        <v>-809894.36540000001</v>
      </c>
      <c r="BP15" s="42">
        <v>322371.2599</v>
      </c>
      <c r="BQ15" s="42">
        <v>1127430.7594999999</v>
      </c>
      <c r="BR15" s="51">
        <v>-805059.49970000004</v>
      </c>
      <c r="BS15" s="42">
        <v>327627.65149999998</v>
      </c>
      <c r="BT15" s="42">
        <v>1127903.8348000001</v>
      </c>
      <c r="BU15" s="51">
        <v>-800276.18330000003</v>
      </c>
      <c r="BV15" s="42">
        <v>332770.74770000001</v>
      </c>
      <c r="BW15" s="42">
        <v>1128366.7134</v>
      </c>
      <c r="BX15" s="51">
        <v>-795595.96569999994</v>
      </c>
      <c r="BY15" s="42">
        <v>338027.13939999999</v>
      </c>
      <c r="BZ15" s="42">
        <v>1128839.7886999999</v>
      </c>
      <c r="CA15" s="51">
        <v>-790812.64930000005</v>
      </c>
      <c r="CB15" s="42">
        <v>343056.94030000002</v>
      </c>
      <c r="CC15" s="42">
        <v>1129292.4708</v>
      </c>
      <c r="CD15" s="51">
        <v>-786235.53049999999</v>
      </c>
      <c r="CE15" s="42">
        <v>348058.41739999998</v>
      </c>
      <c r="CF15" s="42">
        <v>1129742.6037000001</v>
      </c>
      <c r="CG15" s="51">
        <v>-781684.18629999994</v>
      </c>
      <c r="CH15" s="42">
        <v>353217.99530000001</v>
      </c>
      <c r="CI15" s="42">
        <v>1130206.9657000001</v>
      </c>
      <c r="CJ15" s="51">
        <v>-776988.97039999999</v>
      </c>
      <c r="CK15" s="42">
        <v>358417.73920000001</v>
      </c>
      <c r="CL15" s="42">
        <v>1130674.9427</v>
      </c>
      <c r="CM15" s="51">
        <v>-772257.2034</v>
      </c>
      <c r="CN15" s="42">
        <v>365928.95815714262</v>
      </c>
      <c r="CO15" s="42">
        <v>1131350.9523825399</v>
      </c>
      <c r="CP15" s="51">
        <v>-765421.99422539724</v>
      </c>
      <c r="CQ15" s="42">
        <v>370788.22638594173</v>
      </c>
      <c r="CR15" s="42">
        <v>1131788.2865229025</v>
      </c>
      <c r="CS15" s="51">
        <v>-761000.06013696082</v>
      </c>
      <c r="CT15" s="42">
        <v>375777.27714697085</v>
      </c>
      <c r="CU15" s="42">
        <v>1132237.3010905988</v>
      </c>
      <c r="CV15" s="51">
        <v>-756460.02394362795</v>
      </c>
      <c r="CW15" s="64">
        <f t="shared" si="0"/>
        <v>34874011.378196046</v>
      </c>
      <c r="CX15" s="42">
        <f t="shared" si="1"/>
        <v>33741774.077105448</v>
      </c>
    </row>
    <row r="16" spans="1:102" hidden="1" x14ac:dyDescent="0.25">
      <c r="A16" t="s">
        <v>128</v>
      </c>
      <c r="B16">
        <v>2025</v>
      </c>
      <c r="C16">
        <v>3</v>
      </c>
      <c r="E16" s="42">
        <v>1735184.5911999999</v>
      </c>
      <c r="F16" s="42">
        <v>4204021.4412000002</v>
      </c>
      <c r="G16" s="42">
        <v>-2468836.85</v>
      </c>
      <c r="H16" s="51">
        <v>-3336429.1456000004</v>
      </c>
      <c r="I16" s="42">
        <v>1864564.8437999999</v>
      </c>
      <c r="J16" s="42">
        <v>4214371.8613999998</v>
      </c>
      <c r="K16" s="42">
        <v>-2349807.0175999999</v>
      </c>
      <c r="L16" s="51">
        <v>-3282089.4394999999</v>
      </c>
      <c r="M16" s="42">
        <v>1991945.89</v>
      </c>
      <c r="N16" s="42">
        <v>4224562.3450999996</v>
      </c>
      <c r="O16" s="42">
        <v>-2232616.4550999999</v>
      </c>
      <c r="P16" s="51">
        <v>-3228589.4000999997</v>
      </c>
      <c r="Q16" s="42">
        <v>2100100.4728000001</v>
      </c>
      <c r="R16" s="42">
        <v>4233214.7116999999</v>
      </c>
      <c r="S16" s="51">
        <v>-2133114.2389000002</v>
      </c>
      <c r="T16" s="42">
        <v>2219058.594</v>
      </c>
      <c r="U16" s="42">
        <v>4242731.3613999998</v>
      </c>
      <c r="V16" s="51">
        <v>-2023672.7674</v>
      </c>
      <c r="W16" s="42">
        <v>2323967.1331000002</v>
      </c>
      <c r="X16" s="42">
        <v>4251124.0444999998</v>
      </c>
      <c r="Y16" s="51">
        <v>-1927156.9114999999</v>
      </c>
      <c r="Z16" s="42">
        <v>2441728.9345</v>
      </c>
      <c r="AA16" s="42">
        <v>4260544.9886999996</v>
      </c>
      <c r="AB16" s="51">
        <v>-1818816.0541000001</v>
      </c>
      <c r="AC16" s="42">
        <v>2538475.7518000002</v>
      </c>
      <c r="AD16" s="42">
        <v>4268284.7340000002</v>
      </c>
      <c r="AE16" s="51">
        <v>-1729808.9822</v>
      </c>
      <c r="AF16" s="42">
        <v>2641391.1724</v>
      </c>
      <c r="AG16" s="42">
        <v>4276517.9676999999</v>
      </c>
      <c r="AH16" s="51">
        <v>-1635126.7953000001</v>
      </c>
      <c r="AI16" s="42">
        <v>2736341.6272999998</v>
      </c>
      <c r="AJ16" s="42">
        <v>4284114.0040999996</v>
      </c>
      <c r="AK16" s="51">
        <v>-1547772.3768</v>
      </c>
      <c r="AL16" s="42">
        <v>2840741.8254</v>
      </c>
      <c r="AM16" s="42">
        <v>4292466.0198999997</v>
      </c>
      <c r="AN16" s="51">
        <v>-1451724.1945</v>
      </c>
      <c r="AO16" s="42">
        <v>2936482.9813999999</v>
      </c>
      <c r="AP16" s="42">
        <v>4300125.3124000002</v>
      </c>
      <c r="AQ16" s="51">
        <v>-1363642.331</v>
      </c>
      <c r="AR16" s="42">
        <v>3043645.4889000002</v>
      </c>
      <c r="AS16" s="42">
        <v>4308698.3130000001</v>
      </c>
      <c r="AT16" s="51">
        <v>-1265052.8241000001</v>
      </c>
      <c r="AU16" s="42">
        <v>3139285.4315999998</v>
      </c>
      <c r="AV16" s="42">
        <v>4316349.5083999997</v>
      </c>
      <c r="AW16" s="51">
        <v>-1177064.0767999999</v>
      </c>
      <c r="AX16" s="42">
        <v>3246639.8456000001</v>
      </c>
      <c r="AY16" s="42">
        <v>4324937.8614999996</v>
      </c>
      <c r="AZ16" s="51">
        <v>-1078298.0160000001</v>
      </c>
      <c r="BA16" s="42">
        <v>3342074.3859999999</v>
      </c>
      <c r="BB16" s="42">
        <v>4332572.6248000003</v>
      </c>
      <c r="BC16" s="51">
        <v>-990498.23880000005</v>
      </c>
      <c r="BD16" s="42">
        <v>3451838.2666000002</v>
      </c>
      <c r="BE16" s="42">
        <v>4341353.7352</v>
      </c>
      <c r="BF16" s="51">
        <v>-889515.46860000002</v>
      </c>
      <c r="BG16" s="42">
        <v>3545960.5301999999</v>
      </c>
      <c r="BH16" s="42">
        <v>4348883.5163000003</v>
      </c>
      <c r="BI16" s="51">
        <v>-802922.98609999998</v>
      </c>
      <c r="BJ16" s="42">
        <v>3654723.2412</v>
      </c>
      <c r="BK16" s="42">
        <v>4357584.5332000004</v>
      </c>
      <c r="BL16" s="51">
        <v>-702861.29200000002</v>
      </c>
      <c r="BM16" s="42">
        <v>3748393.426</v>
      </c>
      <c r="BN16" s="42">
        <v>4365078.148</v>
      </c>
      <c r="BO16" s="51">
        <v>-616684.72199999995</v>
      </c>
      <c r="BP16" s="42">
        <v>3860773.0340999998</v>
      </c>
      <c r="BQ16" s="42">
        <v>4374068.5165999997</v>
      </c>
      <c r="BR16" s="51">
        <v>-513295.48249999998</v>
      </c>
      <c r="BS16" s="42">
        <v>3936189.9024</v>
      </c>
      <c r="BT16" s="42">
        <v>4380101.8661000002</v>
      </c>
      <c r="BU16" s="51">
        <v>-443911.96370000002</v>
      </c>
      <c r="BV16" s="42">
        <v>4030760.2606000002</v>
      </c>
      <c r="BW16" s="42">
        <v>4387667.4946999997</v>
      </c>
      <c r="BX16" s="51">
        <v>-356907.23420000001</v>
      </c>
      <c r="BY16" s="42">
        <v>4311327.4663000004</v>
      </c>
      <c r="BZ16" s="42">
        <v>4410112.8711999999</v>
      </c>
      <c r="CA16" s="51">
        <v>-98785.404899999994</v>
      </c>
      <c r="CB16" s="42">
        <v>4414046.0942000002</v>
      </c>
      <c r="CC16" s="42">
        <v>4418330.3613999998</v>
      </c>
      <c r="CD16" s="51">
        <v>-4284.2672000000002</v>
      </c>
      <c r="CE16" s="42">
        <v>4490578.0059000002</v>
      </c>
      <c r="CF16" s="42">
        <v>4424452.9144000001</v>
      </c>
      <c r="CG16" s="51">
        <v>66125.091499999995</v>
      </c>
      <c r="CH16" s="42">
        <v>4568664.8865999999</v>
      </c>
      <c r="CI16" s="42">
        <v>4430699.8647999996</v>
      </c>
      <c r="CJ16" s="51">
        <v>137965.02179999999</v>
      </c>
      <c r="CK16" s="42">
        <v>4648277.517</v>
      </c>
      <c r="CL16" s="42">
        <v>4437068.8753000004</v>
      </c>
      <c r="CM16" s="51">
        <v>211208.64180000001</v>
      </c>
      <c r="CN16" s="42">
        <v>4753490.6345198452</v>
      </c>
      <c r="CO16" s="42">
        <v>4445485.9246555567</v>
      </c>
      <c r="CP16" s="51">
        <v>308004.70986428857</v>
      </c>
      <c r="CQ16" s="42">
        <v>4857550.2831901312</v>
      </c>
      <c r="CR16" s="42">
        <v>4453810.6965507977</v>
      </c>
      <c r="CS16" s="51">
        <v>403739.58663933352</v>
      </c>
      <c r="CT16" s="42">
        <v>4962789.0601044595</v>
      </c>
      <c r="CU16" s="42">
        <v>4462229.7987052277</v>
      </c>
      <c r="CV16" s="51">
        <v>500559.26139923185</v>
      </c>
      <c r="CW16" s="64">
        <f t="shared" si="0"/>
        <v>134371566.21691158</v>
      </c>
      <c r="CX16" s="42">
        <f t="shared" si="1"/>
        <v>129909336.41820635</v>
      </c>
    </row>
    <row r="17" spans="1:102" x14ac:dyDescent="0.25">
      <c r="A17" t="s">
        <v>71</v>
      </c>
      <c r="B17">
        <v>2025</v>
      </c>
      <c r="C17">
        <v>3</v>
      </c>
      <c r="D17" t="s">
        <v>347</v>
      </c>
      <c r="E17" s="42">
        <v>1633910.1612</v>
      </c>
      <c r="F17" s="42">
        <v>4867122.5055999998</v>
      </c>
      <c r="G17" s="42">
        <v>-3233212.3443999998</v>
      </c>
      <c r="H17" s="51">
        <v>-4050167.4249999998</v>
      </c>
      <c r="I17" s="42">
        <v>1735024.5575000001</v>
      </c>
      <c r="J17" s="42">
        <v>4875211.6573000001</v>
      </c>
      <c r="K17" s="42">
        <v>-3140187.0998</v>
      </c>
      <c r="L17" s="51">
        <v>-4007699.37855</v>
      </c>
      <c r="M17" s="42">
        <v>1822118.6973000001</v>
      </c>
      <c r="N17" s="42">
        <v>4882179.1885000002</v>
      </c>
      <c r="O17" s="42">
        <v>-3060060.4911000002</v>
      </c>
      <c r="P17" s="51">
        <v>-3971119.8398500001</v>
      </c>
      <c r="Q17" s="42">
        <v>1903424.8081</v>
      </c>
      <c r="R17" s="42">
        <v>4888683.6772999996</v>
      </c>
      <c r="S17" s="51">
        <v>-2985258.8692999999</v>
      </c>
      <c r="T17" s="42">
        <v>1980372.8075000001</v>
      </c>
      <c r="U17" s="42">
        <v>4894839.5173000004</v>
      </c>
      <c r="V17" s="51">
        <v>-2914466.7097999998</v>
      </c>
      <c r="W17" s="42">
        <v>2054394.8307</v>
      </c>
      <c r="X17" s="42">
        <v>4900761.2790999999</v>
      </c>
      <c r="Y17" s="51">
        <v>-2846366.4484999999</v>
      </c>
      <c r="Z17" s="42">
        <v>2123657.4424000001</v>
      </c>
      <c r="AA17" s="42">
        <v>4906302.2880999995</v>
      </c>
      <c r="AB17" s="51">
        <v>-2782644.8456999999</v>
      </c>
      <c r="AC17" s="42">
        <v>2188072.2906999998</v>
      </c>
      <c r="AD17" s="42">
        <v>4911455.4759</v>
      </c>
      <c r="AE17" s="51">
        <v>-2723383.1852000002</v>
      </c>
      <c r="AF17" s="42">
        <v>2248651.4780000001</v>
      </c>
      <c r="AG17" s="42">
        <v>4916301.8108999999</v>
      </c>
      <c r="AH17" s="51">
        <v>-2667650.3328999998</v>
      </c>
      <c r="AI17" s="42">
        <v>2308891.9528000001</v>
      </c>
      <c r="AJ17" s="42">
        <v>4921121.0488999998</v>
      </c>
      <c r="AK17" s="51">
        <v>-2612229.0961000002</v>
      </c>
      <c r="AL17" s="42">
        <v>2369133.8533999999</v>
      </c>
      <c r="AM17" s="42">
        <v>4925940.4009999996</v>
      </c>
      <c r="AN17" s="51">
        <v>-2556806.5474999999</v>
      </c>
      <c r="AO17" s="42">
        <v>2430846.6387999998</v>
      </c>
      <c r="AP17" s="42">
        <v>4930877.4238</v>
      </c>
      <c r="AQ17" s="51">
        <v>-2500030.7850000001</v>
      </c>
      <c r="AR17" s="42">
        <v>2491663.2351000002</v>
      </c>
      <c r="AS17" s="42">
        <v>4935742.7515000002</v>
      </c>
      <c r="AT17" s="51">
        <v>-2444079.5164000001</v>
      </c>
      <c r="AU17" s="42">
        <v>2553903.0063999998</v>
      </c>
      <c r="AV17" s="42">
        <v>4940721.9331999999</v>
      </c>
      <c r="AW17" s="51">
        <v>-2386818.9268</v>
      </c>
      <c r="AX17" s="42">
        <v>2616041.8247000002</v>
      </c>
      <c r="AY17" s="42">
        <v>4945693.0387000004</v>
      </c>
      <c r="AZ17" s="51">
        <v>-2329651.2140000002</v>
      </c>
      <c r="BA17" s="42">
        <v>2680059.0962</v>
      </c>
      <c r="BB17" s="42">
        <v>4950814.4204000002</v>
      </c>
      <c r="BC17" s="51">
        <v>-2270755.3242000001</v>
      </c>
      <c r="BD17" s="42">
        <v>2745435.3119999999</v>
      </c>
      <c r="BE17" s="42">
        <v>4956044.5176999997</v>
      </c>
      <c r="BF17" s="51">
        <v>-2210609.2056</v>
      </c>
      <c r="BG17" s="42">
        <v>2811515.8934999998</v>
      </c>
      <c r="BH17" s="42">
        <v>4961330.9642000003</v>
      </c>
      <c r="BI17" s="51">
        <v>-2149815.0706000002</v>
      </c>
      <c r="BJ17" s="42">
        <v>2876178.4931000001</v>
      </c>
      <c r="BK17" s="42">
        <v>4966503.9720999999</v>
      </c>
      <c r="BL17" s="51">
        <v>-2090325.4790000001</v>
      </c>
      <c r="BM17" s="42">
        <v>2941540.0482999999</v>
      </c>
      <c r="BN17" s="42">
        <v>4971732.8964999998</v>
      </c>
      <c r="BO17" s="51">
        <v>-2030192.8483</v>
      </c>
      <c r="BP17" s="42">
        <v>3006805.7171999998</v>
      </c>
      <c r="BQ17" s="42">
        <v>4976954.1501000002</v>
      </c>
      <c r="BR17" s="51">
        <v>-1970148.4328999999</v>
      </c>
      <c r="BS17" s="42">
        <v>3067170.4517999999</v>
      </c>
      <c r="BT17" s="42">
        <v>4981783.3288000003</v>
      </c>
      <c r="BU17" s="51">
        <v>-1914612.8770999999</v>
      </c>
      <c r="BV17" s="42">
        <v>3124946.4065999999</v>
      </c>
      <c r="BW17" s="42">
        <v>4986405.4051999999</v>
      </c>
      <c r="BX17" s="51">
        <v>-1861458.9986</v>
      </c>
      <c r="BY17" s="42">
        <v>3182306.2736999998</v>
      </c>
      <c r="BZ17" s="42">
        <v>4990994.1946</v>
      </c>
      <c r="CA17" s="51">
        <v>-1808687.9209</v>
      </c>
      <c r="CB17" s="42">
        <v>3237133.8402</v>
      </c>
      <c r="CC17" s="42">
        <v>4995380.3998999996</v>
      </c>
      <c r="CD17" s="51">
        <v>-1758246.5597000001</v>
      </c>
      <c r="CE17" s="42">
        <v>3292495.9268999998</v>
      </c>
      <c r="CF17" s="42">
        <v>4999809.3668</v>
      </c>
      <c r="CG17" s="51">
        <v>-1707313.44</v>
      </c>
      <c r="CH17" s="42">
        <v>3348703.5509000001</v>
      </c>
      <c r="CI17" s="42">
        <v>5004305.9768000003</v>
      </c>
      <c r="CJ17" s="51">
        <v>-1655602.4258999999</v>
      </c>
      <c r="CK17" s="42">
        <v>3406096.8506</v>
      </c>
      <c r="CL17" s="42">
        <v>5008897.4407000002</v>
      </c>
      <c r="CM17" s="51">
        <v>-1602800.5902</v>
      </c>
      <c r="CN17" s="42">
        <v>3505947.1425873041</v>
      </c>
      <c r="CO17" s="42">
        <v>5016885.4640904767</v>
      </c>
      <c r="CP17" s="51">
        <v>-1510938.3215031726</v>
      </c>
      <c r="CQ17" s="42">
        <v>3563611.0690394491</v>
      </c>
      <c r="CR17" s="42">
        <v>5021498.5782073699</v>
      </c>
      <c r="CS17" s="51">
        <v>-1457887.5091679208</v>
      </c>
      <c r="CT17" s="42">
        <v>3622680.2149975747</v>
      </c>
      <c r="CU17" s="42">
        <v>5026224.1098846896</v>
      </c>
      <c r="CV17" s="51">
        <v>-1403543.8948871149</v>
      </c>
      <c r="CW17" s="64">
        <f t="shared" si="0"/>
        <v>153458519.18308255</v>
      </c>
      <c r="CX17" s="42">
        <f t="shared" si="1"/>
        <v>148432295.07319787</v>
      </c>
    </row>
    <row r="18" spans="1:102" x14ac:dyDescent="0.25">
      <c r="A18" t="s">
        <v>130</v>
      </c>
      <c r="B18">
        <v>2025</v>
      </c>
      <c r="C18">
        <v>3</v>
      </c>
      <c r="E18" s="42">
        <v>2962728.5181999998</v>
      </c>
      <c r="F18" s="42">
        <v>3887245.0828999998</v>
      </c>
      <c r="G18" s="42">
        <v>-924516.56469999999</v>
      </c>
      <c r="H18" s="51">
        <v>-2405880.8237999999</v>
      </c>
      <c r="I18" s="42">
        <v>3144854.6065000002</v>
      </c>
      <c r="J18" s="42">
        <v>3901815.17</v>
      </c>
      <c r="K18" s="42">
        <v>-756960.56350000005</v>
      </c>
      <c r="L18" s="51">
        <v>-2329387.86675</v>
      </c>
      <c r="M18" s="42">
        <v>3302161.966</v>
      </c>
      <c r="N18" s="42">
        <v>3914399.7587000001</v>
      </c>
      <c r="O18" s="42">
        <v>-612237.79269999999</v>
      </c>
      <c r="P18" s="51">
        <v>-2263318.7757000001</v>
      </c>
      <c r="Q18" s="42">
        <v>3448125.4833</v>
      </c>
      <c r="R18" s="42">
        <v>3926076.8401000001</v>
      </c>
      <c r="S18" s="51">
        <v>-477951.35680000001</v>
      </c>
      <c r="T18" s="42">
        <v>3586096.9974000002</v>
      </c>
      <c r="U18" s="42">
        <v>3937114.5613000002</v>
      </c>
      <c r="V18" s="51">
        <v>-351017.5638</v>
      </c>
      <c r="W18" s="42">
        <v>3726422.1332999999</v>
      </c>
      <c r="X18" s="42">
        <v>3948340.5721</v>
      </c>
      <c r="Y18" s="51">
        <v>-221918.4388</v>
      </c>
      <c r="Z18" s="42">
        <v>3858020.4534</v>
      </c>
      <c r="AA18" s="42">
        <v>3958868.4377000001</v>
      </c>
      <c r="AB18" s="51">
        <v>-100847.9843</v>
      </c>
      <c r="AC18" s="42">
        <v>3977930.4745</v>
      </c>
      <c r="AD18" s="42">
        <v>3968461.2393999998</v>
      </c>
      <c r="AE18" s="51">
        <v>9469.2350000000006</v>
      </c>
      <c r="AF18" s="42">
        <v>4094473.8352999999</v>
      </c>
      <c r="AG18" s="42">
        <v>3977784.7083000001</v>
      </c>
      <c r="AH18" s="51">
        <v>116689.1271</v>
      </c>
      <c r="AI18" s="42">
        <v>4205060.9313000003</v>
      </c>
      <c r="AJ18" s="42">
        <v>3986631.676</v>
      </c>
      <c r="AK18" s="51">
        <v>218429.25529999999</v>
      </c>
      <c r="AL18" s="42">
        <v>4319137.1138000004</v>
      </c>
      <c r="AM18" s="42">
        <v>3995757.7705999999</v>
      </c>
      <c r="AN18" s="51">
        <v>323379.34330000001</v>
      </c>
      <c r="AO18" s="42">
        <v>4435554.6316999998</v>
      </c>
      <c r="AP18" s="42">
        <v>4005071.1719999998</v>
      </c>
      <c r="AQ18" s="51">
        <v>430483.45970000001</v>
      </c>
      <c r="AR18" s="42">
        <v>4552625.7366000004</v>
      </c>
      <c r="AS18" s="42">
        <v>4014436.8604000001</v>
      </c>
      <c r="AT18" s="51">
        <v>538188.87620000006</v>
      </c>
      <c r="AU18" s="42">
        <v>4668317.5110999998</v>
      </c>
      <c r="AV18" s="42">
        <v>4023692.2023</v>
      </c>
      <c r="AW18" s="51">
        <v>644625.30870000005</v>
      </c>
      <c r="AX18" s="42">
        <v>4783532.2242999999</v>
      </c>
      <c r="AY18" s="42">
        <v>4032909.3794</v>
      </c>
      <c r="AZ18" s="51">
        <v>750622.84490000003</v>
      </c>
      <c r="BA18" s="42">
        <v>4902364.9093000004</v>
      </c>
      <c r="BB18" s="42">
        <v>4042415.9942000001</v>
      </c>
      <c r="BC18" s="51">
        <v>859948.91509999998</v>
      </c>
      <c r="BD18" s="42">
        <v>5017852.8054999998</v>
      </c>
      <c r="BE18" s="42">
        <v>4051655.0258999998</v>
      </c>
      <c r="BF18" s="51">
        <v>966197.77960000001</v>
      </c>
      <c r="BG18" s="42">
        <v>5141293.2540999996</v>
      </c>
      <c r="BH18" s="42">
        <v>4061530.2618</v>
      </c>
      <c r="BI18" s="51">
        <v>1079762.9923</v>
      </c>
      <c r="BJ18" s="42">
        <v>5258249.6937999995</v>
      </c>
      <c r="BK18" s="42">
        <v>4070886.7769999998</v>
      </c>
      <c r="BL18" s="51">
        <v>1187362.9168</v>
      </c>
      <c r="BM18" s="42">
        <v>5376700.8562000003</v>
      </c>
      <c r="BN18" s="42">
        <v>4080362.87</v>
      </c>
      <c r="BO18" s="51">
        <v>1296337.9861999999</v>
      </c>
      <c r="BP18" s="42">
        <v>5500109.3417999996</v>
      </c>
      <c r="BQ18" s="42">
        <v>4090235.5488</v>
      </c>
      <c r="BR18" s="51">
        <v>1409873.7930000001</v>
      </c>
      <c r="BS18" s="42">
        <v>5609626.8531999998</v>
      </c>
      <c r="BT18" s="42">
        <v>4098996.9497000002</v>
      </c>
      <c r="BU18" s="51">
        <v>1510629.9035</v>
      </c>
      <c r="BV18" s="42">
        <v>5724378.5941000003</v>
      </c>
      <c r="BW18" s="42">
        <v>4108177.0890000002</v>
      </c>
      <c r="BX18" s="51">
        <v>1616201.5051</v>
      </c>
      <c r="BY18" s="42">
        <v>5835400.4227999998</v>
      </c>
      <c r="BZ18" s="42">
        <v>4117058.8352999999</v>
      </c>
      <c r="CA18" s="51">
        <v>1718341.5874999999</v>
      </c>
      <c r="CB18" s="42">
        <v>5945665.2434</v>
      </c>
      <c r="CC18" s="42">
        <v>4125880.0208999999</v>
      </c>
      <c r="CD18" s="51">
        <v>1819785.2224999999</v>
      </c>
      <c r="CE18" s="42">
        <v>6057619.0351</v>
      </c>
      <c r="CF18" s="42">
        <v>4134836.3243</v>
      </c>
      <c r="CG18" s="51">
        <v>1922782.7108</v>
      </c>
      <c r="CH18" s="42">
        <v>6171374.7994999997</v>
      </c>
      <c r="CI18" s="42">
        <v>4143936.7853999999</v>
      </c>
      <c r="CJ18" s="51">
        <v>2027438.0141</v>
      </c>
      <c r="CK18" s="42">
        <v>6287384.5323999999</v>
      </c>
      <c r="CL18" s="42">
        <v>4153217.5639999998</v>
      </c>
      <c r="CM18" s="51">
        <v>2134166.9682999998</v>
      </c>
      <c r="CN18" s="42">
        <v>6446304.7212055624</v>
      </c>
      <c r="CO18" s="42">
        <v>4165931.1791563518</v>
      </c>
      <c r="CP18" s="51">
        <v>2280373.5420492105</v>
      </c>
      <c r="CQ18" s="42">
        <v>6555572.2387119234</v>
      </c>
      <c r="CR18" s="42">
        <v>4174672.58055567</v>
      </c>
      <c r="CS18" s="51">
        <v>2380899.6581562534</v>
      </c>
      <c r="CT18" s="42">
        <v>6667256.4228461087</v>
      </c>
      <c r="CU18" s="42">
        <v>4183607.3152877782</v>
      </c>
      <c r="CV18" s="51">
        <v>2483649.1075583305</v>
      </c>
      <c r="CW18" s="64">
        <f t="shared" si="0"/>
        <v>125282006.55249982</v>
      </c>
      <c r="CX18" s="42">
        <f t="shared" si="1"/>
        <v>121098399.23721203</v>
      </c>
    </row>
    <row r="19" spans="1:102" x14ac:dyDescent="0.25">
      <c r="A19" t="s">
        <v>43</v>
      </c>
      <c r="B19">
        <v>2025</v>
      </c>
      <c r="C19">
        <v>1</v>
      </c>
      <c r="E19" s="42">
        <v>125712.0147</v>
      </c>
      <c r="F19" s="42">
        <v>1990788.3278000001</v>
      </c>
      <c r="G19" s="42">
        <v>-1865076.3132</v>
      </c>
      <c r="H19" s="51">
        <v>-1927932.32045</v>
      </c>
      <c r="I19" s="42">
        <v>129550.7277</v>
      </c>
      <c r="J19" s="42">
        <v>1991114.6184</v>
      </c>
      <c r="K19" s="42">
        <v>-1861563.8907000001</v>
      </c>
      <c r="L19" s="51">
        <v>-1926339.25455</v>
      </c>
      <c r="M19" s="42">
        <v>132717.1232</v>
      </c>
      <c r="N19" s="42">
        <v>1991383.7620000001</v>
      </c>
      <c r="O19" s="42">
        <v>-1858666.6388999999</v>
      </c>
      <c r="P19" s="51">
        <v>-1925025.2004000002</v>
      </c>
      <c r="Q19" s="42">
        <v>135643.59909999999</v>
      </c>
      <c r="R19" s="42">
        <v>1991632.5125</v>
      </c>
      <c r="S19" s="51">
        <v>-1855988.9134</v>
      </c>
      <c r="T19" s="42">
        <v>138342.6942</v>
      </c>
      <c r="U19" s="42">
        <v>1991861.9356</v>
      </c>
      <c r="V19" s="51">
        <v>-1853519.2413999999</v>
      </c>
      <c r="W19" s="42">
        <v>140939.2807</v>
      </c>
      <c r="X19" s="42">
        <v>1992082.6454</v>
      </c>
      <c r="Y19" s="51">
        <v>-1851143.3647</v>
      </c>
      <c r="Z19" s="42">
        <v>143278.4964</v>
      </c>
      <c r="AA19" s="42">
        <v>1992281.4787999999</v>
      </c>
      <c r="AB19" s="51">
        <v>-1849002.9823</v>
      </c>
      <c r="AC19" s="42">
        <v>145455.2237</v>
      </c>
      <c r="AD19" s="42">
        <v>1992466.5005999999</v>
      </c>
      <c r="AE19" s="51">
        <v>-1847011.2768999999</v>
      </c>
      <c r="AF19" s="42">
        <v>147464.55009999999</v>
      </c>
      <c r="AG19" s="42">
        <v>1992637.2933</v>
      </c>
      <c r="AH19" s="51">
        <v>-1845172.7433</v>
      </c>
      <c r="AI19" s="42">
        <v>149443.88649999999</v>
      </c>
      <c r="AJ19" s="42">
        <v>1992805.5368999999</v>
      </c>
      <c r="AK19" s="51">
        <v>-1843361.6503999999</v>
      </c>
      <c r="AL19" s="42">
        <v>151410.68410000001</v>
      </c>
      <c r="AM19" s="42">
        <v>1992972.7146999999</v>
      </c>
      <c r="AN19" s="51">
        <v>-1841562.0305999999</v>
      </c>
      <c r="AO19" s="42">
        <v>153390.02050000001</v>
      </c>
      <c r="AP19" s="42">
        <v>1993140.9583000001</v>
      </c>
      <c r="AQ19" s="51">
        <v>-1839750.9378</v>
      </c>
      <c r="AR19" s="42">
        <v>155386.80809999999</v>
      </c>
      <c r="AS19" s="42">
        <v>1993310.6853</v>
      </c>
      <c r="AT19" s="51">
        <v>-1837923.8770999999</v>
      </c>
      <c r="AU19" s="42">
        <v>157366.1446</v>
      </c>
      <c r="AV19" s="42">
        <v>1993478.9288999999</v>
      </c>
      <c r="AW19" s="51">
        <v>-1836112.7842999999</v>
      </c>
      <c r="AX19" s="42">
        <v>159285.50109999999</v>
      </c>
      <c r="AY19" s="42">
        <v>1993642.0741999999</v>
      </c>
      <c r="AZ19" s="51">
        <v>-1834356.5730999999</v>
      </c>
      <c r="BA19" s="42">
        <v>161312.27859999999</v>
      </c>
      <c r="BB19" s="42">
        <v>1993814.3503</v>
      </c>
      <c r="BC19" s="51">
        <v>-1832502.0715999999</v>
      </c>
      <c r="BD19" s="42">
        <v>163321.60500000001</v>
      </c>
      <c r="BE19" s="42">
        <v>1993985.1429999999</v>
      </c>
      <c r="BF19" s="51">
        <v>-1830663.5379999999</v>
      </c>
      <c r="BG19" s="42">
        <v>165408.36240000001</v>
      </c>
      <c r="BH19" s="42">
        <v>1994162.5174</v>
      </c>
      <c r="BI19" s="51">
        <v>-1828754.155</v>
      </c>
      <c r="BJ19" s="42">
        <v>167327.71890000001</v>
      </c>
      <c r="BK19" s="42">
        <v>1994325.6627</v>
      </c>
      <c r="BL19" s="51">
        <v>-1826997.9438</v>
      </c>
      <c r="BM19" s="42">
        <v>169277.06539999999</v>
      </c>
      <c r="BN19" s="42">
        <v>1994491.3570999999</v>
      </c>
      <c r="BO19" s="51">
        <v>-1825214.2918</v>
      </c>
      <c r="BP19" s="42">
        <v>171213.8731</v>
      </c>
      <c r="BQ19" s="42">
        <v>1994655.9857999999</v>
      </c>
      <c r="BR19" s="51">
        <v>-1823442.1126999999</v>
      </c>
      <c r="BS19" s="42">
        <v>173043.2598</v>
      </c>
      <c r="BT19" s="42">
        <v>1994811.4837</v>
      </c>
      <c r="BU19" s="51">
        <v>-1821768.2239000001</v>
      </c>
      <c r="BV19" s="42">
        <v>174782.67660000001</v>
      </c>
      <c r="BW19" s="42">
        <v>1994959.3341000001</v>
      </c>
      <c r="BX19" s="51">
        <v>-1820176.6575</v>
      </c>
      <c r="BY19" s="42">
        <v>176539.54459999999</v>
      </c>
      <c r="BZ19" s="42">
        <v>1995108.6679</v>
      </c>
      <c r="CA19" s="51">
        <v>-1818569.1232</v>
      </c>
      <c r="CB19" s="42">
        <v>178188.99170000001</v>
      </c>
      <c r="CC19" s="42">
        <v>1995248.8709</v>
      </c>
      <c r="CD19" s="51">
        <v>-1817059.8792000001</v>
      </c>
      <c r="CE19" s="42">
        <v>179808.44870000001</v>
      </c>
      <c r="CF19" s="42">
        <v>1995386.5247</v>
      </c>
      <c r="CG19" s="51">
        <v>-1815578.0759999999</v>
      </c>
      <c r="CH19" s="42">
        <v>181445.35699999999</v>
      </c>
      <c r="CI19" s="42">
        <v>1995525.6618999999</v>
      </c>
      <c r="CJ19" s="51">
        <v>-1814080.3049000001</v>
      </c>
      <c r="CK19" s="42">
        <v>183094.804</v>
      </c>
      <c r="CL19" s="42">
        <v>1995665.8648999999</v>
      </c>
      <c r="CM19" s="51">
        <v>-1812571.0608999999</v>
      </c>
      <c r="CN19" s="42">
        <v>187163.70166190481</v>
      </c>
      <c r="CO19" s="42">
        <v>1996011.7212341267</v>
      </c>
      <c r="CP19" s="51">
        <v>-1808848.0195722219</v>
      </c>
      <c r="CQ19" s="42">
        <v>188877.32099852618</v>
      </c>
      <c r="CR19" s="42">
        <v>1996157.378877891</v>
      </c>
      <c r="CS19" s="51">
        <v>-1807280.0578793648</v>
      </c>
      <c r="CT19" s="42">
        <v>190652.69105814165</v>
      </c>
      <c r="CU19" s="42">
        <v>1996308.2853323987</v>
      </c>
      <c r="CV19" s="51">
        <v>-1805655.5942742571</v>
      </c>
      <c r="CW19" s="64">
        <f t="shared" si="0"/>
        <v>61806218.782544412</v>
      </c>
      <c r="CX19" s="42">
        <f t="shared" si="1"/>
        <v>59809910.497212015</v>
      </c>
    </row>
    <row r="20" spans="1:102" x14ac:dyDescent="0.25">
      <c r="A20" t="s">
        <v>76</v>
      </c>
      <c r="B20">
        <v>2025</v>
      </c>
      <c r="C20">
        <v>3</v>
      </c>
      <c r="D20" t="s">
        <v>347</v>
      </c>
      <c r="E20" s="42">
        <v>1147123.3866000001</v>
      </c>
      <c r="F20" s="42">
        <v>4953879.3809000002</v>
      </c>
      <c r="G20" s="42">
        <v>-3806755.9942999999</v>
      </c>
      <c r="H20" s="51">
        <v>-4380317.6875999998</v>
      </c>
      <c r="I20" s="42">
        <v>1218150.6018999999</v>
      </c>
      <c r="J20" s="42">
        <v>4959561.5581</v>
      </c>
      <c r="K20" s="42">
        <v>-3741410.9561999999</v>
      </c>
      <c r="L20" s="51">
        <v>-4350486.25715</v>
      </c>
      <c r="M20" s="42">
        <v>1273694.3666999999</v>
      </c>
      <c r="N20" s="42">
        <v>4964005.0592999998</v>
      </c>
      <c r="O20" s="42">
        <v>-3690310.6924999999</v>
      </c>
      <c r="P20" s="51">
        <v>-4327157.8759500002</v>
      </c>
      <c r="Q20" s="42">
        <v>1321923.0427999999</v>
      </c>
      <c r="R20" s="42">
        <v>4967863.3534000004</v>
      </c>
      <c r="S20" s="51">
        <v>-3645940.3105000001</v>
      </c>
      <c r="T20" s="42">
        <v>1366331.5730999999</v>
      </c>
      <c r="U20" s="42">
        <v>4971416.0357999997</v>
      </c>
      <c r="V20" s="51">
        <v>-3605084.4627</v>
      </c>
      <c r="W20" s="42">
        <v>1408030.0412000001</v>
      </c>
      <c r="X20" s="42">
        <v>4974751.9132000003</v>
      </c>
      <c r="Y20" s="51">
        <v>-3566721.872</v>
      </c>
      <c r="Z20" s="42">
        <v>1446369.2196</v>
      </c>
      <c r="AA20" s="42">
        <v>4977819.0475000003</v>
      </c>
      <c r="AB20" s="51">
        <v>-3531449.8278999999</v>
      </c>
      <c r="AC20" s="42">
        <v>1480590.0211</v>
      </c>
      <c r="AD20" s="42">
        <v>4980556.7116</v>
      </c>
      <c r="AE20" s="51">
        <v>-3499966.6905</v>
      </c>
      <c r="AF20" s="42">
        <v>1512053.6440000001</v>
      </c>
      <c r="AG20" s="42">
        <v>4983073.8015000001</v>
      </c>
      <c r="AH20" s="51">
        <v>-3471020.1575000002</v>
      </c>
      <c r="AI20" s="42">
        <v>1543203.3145999999</v>
      </c>
      <c r="AJ20" s="42">
        <v>4985565.7751000002</v>
      </c>
      <c r="AK20" s="51">
        <v>-3442362.4605</v>
      </c>
      <c r="AL20" s="42">
        <v>1573850.6614999999</v>
      </c>
      <c r="AM20" s="42">
        <v>4988017.5629000003</v>
      </c>
      <c r="AN20" s="51">
        <v>-3414166.9013999999</v>
      </c>
      <c r="AO20" s="42">
        <v>1605340.0778999999</v>
      </c>
      <c r="AP20" s="42">
        <v>4990536.7161999997</v>
      </c>
      <c r="AQ20" s="51">
        <v>-3385196.6383000002</v>
      </c>
      <c r="AR20" s="42">
        <v>1635799.0534000001</v>
      </c>
      <c r="AS20" s="42">
        <v>4992973.4342</v>
      </c>
      <c r="AT20" s="51">
        <v>-3357174.3807999999</v>
      </c>
      <c r="AU20" s="42">
        <v>1666760.3526000001</v>
      </c>
      <c r="AV20" s="42">
        <v>4995450.3381000003</v>
      </c>
      <c r="AW20" s="51">
        <v>-3328689.9855</v>
      </c>
      <c r="AX20" s="42">
        <v>1697169.4778</v>
      </c>
      <c r="AY20" s="42">
        <v>4997883.0681999996</v>
      </c>
      <c r="AZ20" s="51">
        <v>-3300713.5902999998</v>
      </c>
      <c r="BA20" s="42">
        <v>1728742.0053000001</v>
      </c>
      <c r="BB20" s="42">
        <v>5000408.8704000004</v>
      </c>
      <c r="BC20" s="51">
        <v>-3271666.8651000001</v>
      </c>
      <c r="BD20" s="42">
        <v>1760362.6043</v>
      </c>
      <c r="BE20" s="42">
        <v>5002938.5182999996</v>
      </c>
      <c r="BF20" s="51">
        <v>-3242575.9139999999</v>
      </c>
      <c r="BG20" s="42">
        <v>1792574.111</v>
      </c>
      <c r="BH20" s="42">
        <v>5005515.4387999997</v>
      </c>
      <c r="BI20" s="51">
        <v>-3212941.3278000001</v>
      </c>
      <c r="BJ20" s="42">
        <v>1823315.6436000001</v>
      </c>
      <c r="BK20" s="42">
        <v>5007974.7614000002</v>
      </c>
      <c r="BL20" s="51">
        <v>-3184659.1178000001</v>
      </c>
      <c r="BM20" s="42">
        <v>1854833.5874000001</v>
      </c>
      <c r="BN20" s="42">
        <v>5010496.1968999999</v>
      </c>
      <c r="BO20" s="51">
        <v>-3155662.6094999998</v>
      </c>
      <c r="BP20" s="42">
        <v>1885355.3533999999</v>
      </c>
      <c r="BQ20" s="42">
        <v>5012937.9381999997</v>
      </c>
      <c r="BR20" s="51">
        <v>-3127582.5847999998</v>
      </c>
      <c r="BS20" s="42">
        <v>1914270.3609</v>
      </c>
      <c r="BT20" s="42">
        <v>5015251.1387999998</v>
      </c>
      <c r="BU20" s="51">
        <v>-3100980.7779000001</v>
      </c>
      <c r="BV20" s="42">
        <v>1942092.1370000001</v>
      </c>
      <c r="BW20" s="42">
        <v>5017476.8809000002</v>
      </c>
      <c r="BX20" s="51">
        <v>-3075384.7439000001</v>
      </c>
      <c r="BY20" s="42">
        <v>1970222.2637</v>
      </c>
      <c r="BZ20" s="42">
        <v>5019727.2910000002</v>
      </c>
      <c r="CA20" s="51">
        <v>-3049505.0273000002</v>
      </c>
      <c r="CB20" s="42">
        <v>1996568.4639999999</v>
      </c>
      <c r="CC20" s="42">
        <v>5021834.9870999996</v>
      </c>
      <c r="CD20" s="51">
        <v>-3025266.523</v>
      </c>
      <c r="CE20" s="42">
        <v>2022349.5501999999</v>
      </c>
      <c r="CF20" s="42">
        <v>5023897.4738999996</v>
      </c>
      <c r="CG20" s="51">
        <v>-3001547.9238</v>
      </c>
      <c r="CH20" s="42">
        <v>2048457.5288</v>
      </c>
      <c r="CI20" s="42">
        <v>5025986.1122000003</v>
      </c>
      <c r="CJ20" s="51">
        <v>-2977528.5835000002</v>
      </c>
      <c r="CK20" s="42">
        <v>2075054.8909</v>
      </c>
      <c r="CL20" s="42">
        <v>5028113.9012000002</v>
      </c>
      <c r="CM20" s="51">
        <v>-2953059.0103000002</v>
      </c>
      <c r="CN20" s="42">
        <v>2140215.0125365108</v>
      </c>
      <c r="CO20" s="42">
        <v>5033326.7109190468</v>
      </c>
      <c r="CP20" s="51">
        <v>-2893111.6983825359</v>
      </c>
      <c r="CQ20" s="42">
        <v>2166282.6058409289</v>
      </c>
      <c r="CR20" s="42">
        <v>5035412.1183828786</v>
      </c>
      <c r="CS20" s="51">
        <v>-2869129.5125419497</v>
      </c>
      <c r="CT20" s="42">
        <v>2193829.5420544222</v>
      </c>
      <c r="CU20" s="42">
        <v>5037615.8732778998</v>
      </c>
      <c r="CV20" s="51">
        <v>-2843786.3312234776</v>
      </c>
      <c r="CW20" s="64">
        <f t="shared" si="0"/>
        <v>154982267.9676798</v>
      </c>
      <c r="CX20" s="42">
        <f t="shared" si="1"/>
        <v>149944652.0944019</v>
      </c>
    </row>
    <row r="21" spans="1:102" x14ac:dyDescent="0.25">
      <c r="A21" t="s">
        <v>80</v>
      </c>
      <c r="B21">
        <v>2025</v>
      </c>
      <c r="C21">
        <v>2</v>
      </c>
      <c r="E21" s="42">
        <v>815816.11620000005</v>
      </c>
      <c r="F21" s="42">
        <v>2451818.4890000001</v>
      </c>
      <c r="G21" s="42">
        <v>-1636002.3728</v>
      </c>
      <c r="H21" s="51">
        <v>-2043910.4309</v>
      </c>
      <c r="I21" s="42">
        <v>861971.07479999994</v>
      </c>
      <c r="J21" s="42">
        <v>2455741.6605000002</v>
      </c>
      <c r="K21" s="42">
        <v>-1593770.5856999999</v>
      </c>
      <c r="L21" s="51">
        <v>-2024756.1231000002</v>
      </c>
      <c r="M21" s="42">
        <v>902185.299</v>
      </c>
      <c r="N21" s="42">
        <v>2459159.8695999999</v>
      </c>
      <c r="O21" s="42">
        <v>-1556974.5706</v>
      </c>
      <c r="P21" s="51">
        <v>-2008067.2200999998</v>
      </c>
      <c r="Q21" s="42">
        <v>939648.51399999997</v>
      </c>
      <c r="R21" s="42">
        <v>2462344.2428000001</v>
      </c>
      <c r="S21" s="51">
        <v>-1522695.7287999999</v>
      </c>
      <c r="T21" s="42">
        <v>979110.9314</v>
      </c>
      <c r="U21" s="42">
        <v>2465698.5482999999</v>
      </c>
      <c r="V21" s="51">
        <v>-1486587.6169</v>
      </c>
      <c r="W21" s="42">
        <v>991112.96589999995</v>
      </c>
      <c r="X21" s="42">
        <v>2466718.7212999999</v>
      </c>
      <c r="Y21" s="51">
        <v>-1475605.7553999999</v>
      </c>
      <c r="Z21" s="42">
        <v>1035955.2095999999</v>
      </c>
      <c r="AA21" s="42">
        <v>2470530.3119999999</v>
      </c>
      <c r="AB21" s="51">
        <v>-1434575.1024</v>
      </c>
      <c r="AC21" s="42">
        <v>1080560.3759999999</v>
      </c>
      <c r="AD21" s="42">
        <v>2474321.7511</v>
      </c>
      <c r="AE21" s="51">
        <v>-1393761.3751000001</v>
      </c>
      <c r="AF21" s="42">
        <v>1091317.7549999999</v>
      </c>
      <c r="AG21" s="42">
        <v>2475236.1283</v>
      </c>
      <c r="AH21" s="51">
        <v>-1383918.3733000001</v>
      </c>
      <c r="AI21" s="42">
        <v>1135640.2555</v>
      </c>
      <c r="AJ21" s="42">
        <v>2479003.5408999999</v>
      </c>
      <c r="AK21" s="51">
        <v>-1343363.2853000001</v>
      </c>
      <c r="AL21" s="42">
        <v>1146178.0086000001</v>
      </c>
      <c r="AM21" s="42">
        <v>2479899.2499000002</v>
      </c>
      <c r="AN21" s="51">
        <v>-1333721.2413000001</v>
      </c>
      <c r="AO21" s="42">
        <v>1191542.8744999999</v>
      </c>
      <c r="AP21" s="42">
        <v>2483755.2634999999</v>
      </c>
      <c r="AQ21" s="51">
        <v>-1292212.389</v>
      </c>
      <c r="AR21" s="42">
        <v>1201707.5604999999</v>
      </c>
      <c r="AS21" s="42">
        <v>2484619.2618</v>
      </c>
      <c r="AT21" s="51">
        <v>-1282911.7013000001</v>
      </c>
      <c r="AU21" s="42">
        <v>1211931.5157999999</v>
      </c>
      <c r="AV21" s="42">
        <v>2485488.298</v>
      </c>
      <c r="AW21" s="51">
        <v>-1273556.7822</v>
      </c>
      <c r="AX21" s="42">
        <v>1256981.2021000001</v>
      </c>
      <c r="AY21" s="42">
        <v>2489317.5213000001</v>
      </c>
      <c r="AZ21" s="51">
        <v>-1232336.3193000001</v>
      </c>
      <c r="BA21" s="42">
        <v>1267649.6771</v>
      </c>
      <c r="BB21" s="42">
        <v>2490224.3417000002</v>
      </c>
      <c r="BC21" s="51">
        <v>-1222574.6646</v>
      </c>
      <c r="BD21" s="42">
        <v>1314076.2379999999</v>
      </c>
      <c r="BE21" s="42">
        <v>2494170.5994000002</v>
      </c>
      <c r="BF21" s="51">
        <v>-1180094.3614000001</v>
      </c>
      <c r="BG21" s="42">
        <v>1325032.3987</v>
      </c>
      <c r="BH21" s="42">
        <v>2495101.8730000001</v>
      </c>
      <c r="BI21" s="51">
        <v>-1170069.4743999999</v>
      </c>
      <c r="BJ21" s="42">
        <v>1371089.6631</v>
      </c>
      <c r="BK21" s="42">
        <v>2499016.7404999998</v>
      </c>
      <c r="BL21" s="51">
        <v>-1127927.0774000001</v>
      </c>
      <c r="BM21" s="42">
        <v>1381076.5412000001</v>
      </c>
      <c r="BN21" s="42">
        <v>2499865.6252000001</v>
      </c>
      <c r="BO21" s="51">
        <v>-1118789.084</v>
      </c>
      <c r="BP21" s="42">
        <v>1427163.4402000001</v>
      </c>
      <c r="BQ21" s="42">
        <v>2503783.0115999999</v>
      </c>
      <c r="BR21" s="51">
        <v>-1076619.5713</v>
      </c>
      <c r="BS21" s="42">
        <v>1436512.0366</v>
      </c>
      <c r="BT21" s="42">
        <v>2504577.6422999999</v>
      </c>
      <c r="BU21" s="51">
        <v>-1068065.6057</v>
      </c>
      <c r="BV21" s="42">
        <v>1482586.7522</v>
      </c>
      <c r="BW21" s="42">
        <v>2508493.9931000001</v>
      </c>
      <c r="BX21" s="51">
        <v>-1025907.2409</v>
      </c>
      <c r="BY21" s="42">
        <v>1491121.5323000001</v>
      </c>
      <c r="BZ21" s="42">
        <v>2509219.4493999998</v>
      </c>
      <c r="CA21" s="51">
        <v>-1018097.9171</v>
      </c>
      <c r="CB21" s="42">
        <v>1535963.7759</v>
      </c>
      <c r="CC21" s="42">
        <v>2513031.0400999999</v>
      </c>
      <c r="CD21" s="51">
        <v>-977067.26419999998</v>
      </c>
      <c r="CE21" s="42">
        <v>1542750.1114000001</v>
      </c>
      <c r="CF21" s="42">
        <v>2513607.8785999999</v>
      </c>
      <c r="CG21" s="51">
        <v>-970857.7672</v>
      </c>
      <c r="CH21" s="42">
        <v>1549566.0815999999</v>
      </c>
      <c r="CI21" s="42">
        <v>2514187.2360999999</v>
      </c>
      <c r="CJ21" s="51">
        <v>-964621.15449999995</v>
      </c>
      <c r="CK21" s="42">
        <v>1556505.6041000001</v>
      </c>
      <c r="CL21" s="42">
        <v>2514777.0954999998</v>
      </c>
      <c r="CM21" s="51">
        <v>-958271.49140000006</v>
      </c>
      <c r="CN21" s="42">
        <v>1631588.2819634899</v>
      </c>
      <c r="CO21" s="42">
        <v>2521159.123126985</v>
      </c>
      <c r="CP21" s="51">
        <v>-889570.84116349509</v>
      </c>
      <c r="CQ21" s="42">
        <v>1655429.525820978</v>
      </c>
      <c r="CR21" s="42">
        <v>2523185.6288530626</v>
      </c>
      <c r="CS21" s="51">
        <v>-867756.10303208465</v>
      </c>
      <c r="CT21" s="42">
        <v>1679865.3713425174</v>
      </c>
      <c r="CU21" s="42">
        <v>2525262.6757215401</v>
      </c>
      <c r="CV21" s="51">
        <v>-845397.30437902268</v>
      </c>
      <c r="CW21" s="64">
        <f t="shared" si="0"/>
        <v>77213316.812501609</v>
      </c>
      <c r="CX21" s="42">
        <f t="shared" si="1"/>
        <v>74688054.136780068</v>
      </c>
    </row>
    <row r="22" spans="1:102" x14ac:dyDescent="0.25">
      <c r="A22" t="s">
        <v>85</v>
      </c>
      <c r="B22">
        <v>2025</v>
      </c>
      <c r="C22">
        <v>3</v>
      </c>
      <c r="D22" t="s">
        <v>347</v>
      </c>
      <c r="E22" s="42">
        <v>2535787.1845999998</v>
      </c>
      <c r="F22" s="42">
        <v>4603666.5942000002</v>
      </c>
      <c r="G22" s="42">
        <v>-2067879.4095999999</v>
      </c>
      <c r="H22" s="51">
        <v>-3335773.0019000005</v>
      </c>
      <c r="I22" s="42">
        <v>2734453.2289</v>
      </c>
      <c r="J22" s="42">
        <v>4619559.8777999999</v>
      </c>
      <c r="K22" s="42">
        <v>-1885106.6488999999</v>
      </c>
      <c r="L22" s="51">
        <v>-3252333.2633499997</v>
      </c>
      <c r="M22" s="42">
        <v>2898839.2736999998</v>
      </c>
      <c r="N22" s="42">
        <v>4632710.7614000002</v>
      </c>
      <c r="O22" s="42">
        <v>-1733871.4876999999</v>
      </c>
      <c r="P22" s="51">
        <v>-3183291.1245500003</v>
      </c>
      <c r="Q22" s="42">
        <v>3048830.5828</v>
      </c>
      <c r="R22" s="42">
        <v>4644710.0661000004</v>
      </c>
      <c r="S22" s="51">
        <v>-1595879.4833</v>
      </c>
      <c r="T22" s="42">
        <v>3189571.8064000001</v>
      </c>
      <c r="U22" s="42">
        <v>4655969.3640000001</v>
      </c>
      <c r="V22" s="51">
        <v>-1466397.5575000001</v>
      </c>
      <c r="W22" s="42">
        <v>3326743.1516999998</v>
      </c>
      <c r="X22" s="42">
        <v>4666943.0716000004</v>
      </c>
      <c r="Y22" s="51">
        <v>-1340199.9199000001</v>
      </c>
      <c r="Z22" s="42">
        <v>3456575.2659</v>
      </c>
      <c r="AA22" s="42">
        <v>4677329.6407000003</v>
      </c>
      <c r="AB22" s="51">
        <v>-1220754.3748000001</v>
      </c>
      <c r="AC22" s="42">
        <v>3579567.62</v>
      </c>
      <c r="AD22" s="42">
        <v>4687169.0290999999</v>
      </c>
      <c r="AE22" s="51">
        <v>-1107601.4091</v>
      </c>
      <c r="AF22" s="42">
        <v>3695023.5093999999</v>
      </c>
      <c r="AG22" s="42">
        <v>4696405.5001999997</v>
      </c>
      <c r="AH22" s="51">
        <v>-1001381.9908</v>
      </c>
      <c r="AI22" s="42">
        <v>3813563.0745999999</v>
      </c>
      <c r="AJ22" s="42">
        <v>4705888.6654000003</v>
      </c>
      <c r="AK22" s="51">
        <v>-892325.59080000001</v>
      </c>
      <c r="AL22" s="42">
        <v>3930172.6329999999</v>
      </c>
      <c r="AM22" s="42">
        <v>4715217.4301000005</v>
      </c>
      <c r="AN22" s="51">
        <v>-785044.79709999997</v>
      </c>
      <c r="AO22" s="42">
        <v>4052272.5652000001</v>
      </c>
      <c r="AP22" s="42">
        <v>4724985.4247000003</v>
      </c>
      <c r="AQ22" s="51">
        <v>-672712.85950000002</v>
      </c>
      <c r="AR22" s="42">
        <v>4171613.8753</v>
      </c>
      <c r="AS22" s="42">
        <v>4734532.7295000004</v>
      </c>
      <c r="AT22" s="51">
        <v>-562918.85419999994</v>
      </c>
      <c r="AU22" s="42">
        <v>4295480.3568000002</v>
      </c>
      <c r="AV22" s="42">
        <v>4744442.0480000004</v>
      </c>
      <c r="AW22" s="51">
        <v>-448961.6912</v>
      </c>
      <c r="AX22" s="42">
        <v>4419039.1475999998</v>
      </c>
      <c r="AY22" s="42">
        <v>4754326.7512999997</v>
      </c>
      <c r="AZ22" s="51">
        <v>-335287.60369999998</v>
      </c>
      <c r="BA22" s="42">
        <v>4548048.7709999997</v>
      </c>
      <c r="BB22" s="42">
        <v>4764647.5210999995</v>
      </c>
      <c r="BC22" s="51">
        <v>-216598.7501</v>
      </c>
      <c r="BD22" s="42">
        <v>4677439.4353999998</v>
      </c>
      <c r="BE22" s="42">
        <v>4774998.7742999997</v>
      </c>
      <c r="BF22" s="51">
        <v>-97559.338799999998</v>
      </c>
      <c r="BG22" s="42">
        <v>4812673.0295000002</v>
      </c>
      <c r="BH22" s="42">
        <v>4785817.4617999997</v>
      </c>
      <c r="BI22" s="51">
        <v>26855.5677</v>
      </c>
      <c r="BJ22" s="42">
        <v>4943849.4272999996</v>
      </c>
      <c r="BK22" s="42">
        <v>4796311.5735999998</v>
      </c>
      <c r="BL22" s="51">
        <v>147537.85370000001</v>
      </c>
      <c r="BM22" s="42">
        <v>5080124.5834999997</v>
      </c>
      <c r="BN22" s="42">
        <v>4807213.5861</v>
      </c>
      <c r="BO22" s="51">
        <v>272910.99739999999</v>
      </c>
      <c r="BP22" s="42">
        <v>5214272.4162999997</v>
      </c>
      <c r="BQ22" s="42">
        <v>4817945.4128</v>
      </c>
      <c r="BR22" s="51">
        <v>396327.00349999999</v>
      </c>
      <c r="BS22" s="42">
        <v>5350327.2923999997</v>
      </c>
      <c r="BT22" s="42">
        <v>4828829.8027999997</v>
      </c>
      <c r="BU22" s="51">
        <v>521497.48950000003</v>
      </c>
      <c r="BV22" s="42">
        <v>5485610.2830999997</v>
      </c>
      <c r="BW22" s="42">
        <v>4839652.4420999996</v>
      </c>
      <c r="BX22" s="51">
        <v>645957.84100000001</v>
      </c>
      <c r="BY22" s="42">
        <v>5626562.1922000004</v>
      </c>
      <c r="BZ22" s="42">
        <v>4850928.5948000001</v>
      </c>
      <c r="CA22" s="51">
        <v>775633.59739999997</v>
      </c>
      <c r="CB22" s="42">
        <v>5762818.7034</v>
      </c>
      <c r="CC22" s="42">
        <v>4861829.1157</v>
      </c>
      <c r="CD22" s="51">
        <v>900989.58770000003</v>
      </c>
      <c r="CE22" s="42">
        <v>5904600.5802999996</v>
      </c>
      <c r="CF22" s="42">
        <v>4873171.6659000004</v>
      </c>
      <c r="CG22" s="51">
        <v>1031428.9145</v>
      </c>
      <c r="CH22" s="42">
        <v>6048977.2120000003</v>
      </c>
      <c r="CI22" s="42">
        <v>4884721.7964000003</v>
      </c>
      <c r="CJ22" s="51">
        <v>1164255.4155999999</v>
      </c>
      <c r="CK22" s="42">
        <v>6196788.1607999997</v>
      </c>
      <c r="CL22" s="42">
        <v>4896546.6722999997</v>
      </c>
      <c r="CM22" s="51">
        <v>1300241.4883999999</v>
      </c>
      <c r="CN22" s="42">
        <v>6276424.2289460301</v>
      </c>
      <c r="CO22" s="42">
        <v>4902917.5577499978</v>
      </c>
      <c r="CP22" s="51">
        <v>1373506.6711960323</v>
      </c>
      <c r="CQ22" s="42">
        <v>6399709.0115168989</v>
      </c>
      <c r="CR22" s="42">
        <v>4912780.3403507918</v>
      </c>
      <c r="CS22" s="51">
        <v>1486928.6711661071</v>
      </c>
      <c r="CT22" s="42">
        <v>6526685.456666559</v>
      </c>
      <c r="CU22" s="42">
        <v>4922938.4559616223</v>
      </c>
      <c r="CV22" s="51">
        <v>1603747.0007049367</v>
      </c>
      <c r="CW22" s="64">
        <f t="shared" si="0"/>
        <v>147785107.72786239</v>
      </c>
      <c r="CX22" s="42">
        <f t="shared" si="1"/>
        <v>142862169.27190077</v>
      </c>
    </row>
    <row r="26" spans="1:102" x14ac:dyDescent="0.25">
      <c r="A26" s="23" t="s">
        <v>146</v>
      </c>
    </row>
  </sheetData>
  <autoFilter ref="A2:CM37" xr:uid="{ADA4C5F5-9000-40C8-B037-4301E37D2366}"/>
  <hyperlinks>
    <hyperlink ref="A26" location="Introdução!A1" display="Introdução!A1" xr:uid="{DB1EDF5F-D7ED-4A16-8124-3CE71A1ED6F7}"/>
  </hyperlinks>
  <pageMargins left="0.511811024" right="0.511811024" top="0.78740157499999996" bottom="0.78740157499999996" header="0.31496062000000002" footer="0.31496062000000002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80FB-AE0C-4146-821A-E9515BFD14AE}">
  <sheetPr codeName="Planilha22">
    <tabColor rgb="FF92D050"/>
  </sheetPr>
  <dimension ref="A1:CX26"/>
  <sheetViews>
    <sheetView topLeftCell="CD1" workbookViewId="0">
      <selection activeCell="CX3" sqref="CX3:CX22"/>
    </sheetView>
  </sheetViews>
  <sheetFormatPr defaultRowHeight="15" x14ac:dyDescent="0.25"/>
  <cols>
    <col min="1" max="1" width="13.7109375" bestFit="1" customWidth="1"/>
    <col min="2" max="2" width="14.28515625" bestFit="1" customWidth="1"/>
    <col min="3" max="3" width="8" bestFit="1" customWidth="1"/>
    <col min="4" max="4" width="9.42578125" bestFit="1" customWidth="1"/>
    <col min="5" max="6" width="11.7109375" bestFit="1" customWidth="1"/>
    <col min="7" max="7" width="12.42578125" bestFit="1" customWidth="1"/>
    <col min="8" max="8" width="27.5703125" bestFit="1" customWidth="1"/>
    <col min="9" max="10" width="11.7109375" bestFit="1" customWidth="1"/>
    <col min="11" max="11" width="12.42578125" bestFit="1" customWidth="1"/>
    <col min="12" max="12" width="27.5703125" bestFit="1" customWidth="1"/>
    <col min="13" max="14" width="11.7109375" bestFit="1" customWidth="1"/>
    <col min="15" max="15" width="12.42578125" bestFit="1" customWidth="1"/>
    <col min="16" max="16" width="27.5703125" bestFit="1" customWidth="1"/>
    <col min="17" max="18" width="11.7109375" bestFit="1" customWidth="1"/>
    <col min="19" max="19" width="12.42578125" bestFit="1" customWidth="1"/>
    <col min="20" max="21" width="11.7109375" bestFit="1" customWidth="1"/>
    <col min="22" max="22" width="12.42578125" bestFit="1" customWidth="1"/>
    <col min="23" max="24" width="11.7109375" bestFit="1" customWidth="1"/>
    <col min="25" max="25" width="12.42578125" bestFit="1" customWidth="1"/>
    <col min="26" max="27" width="11.7109375" bestFit="1" customWidth="1"/>
    <col min="28" max="28" width="12.42578125" bestFit="1" customWidth="1"/>
    <col min="29" max="30" width="11.7109375" bestFit="1" customWidth="1"/>
    <col min="31" max="31" width="12.42578125" bestFit="1" customWidth="1"/>
    <col min="32" max="33" width="11.7109375" bestFit="1" customWidth="1"/>
    <col min="34" max="34" width="12.42578125" bestFit="1" customWidth="1"/>
    <col min="35" max="35" width="12.7109375" bestFit="1" customWidth="1"/>
    <col min="36" max="36" width="11.7109375" bestFit="1" customWidth="1"/>
    <col min="37" max="37" width="12.42578125" bestFit="1" customWidth="1"/>
    <col min="38" max="38" width="12.7109375" bestFit="1" customWidth="1"/>
    <col min="39" max="39" width="11.7109375" bestFit="1" customWidth="1"/>
    <col min="40" max="40" width="12.42578125" bestFit="1" customWidth="1"/>
    <col min="41" max="41" width="12.7109375" bestFit="1" customWidth="1"/>
    <col min="42" max="42" width="11.7109375" bestFit="1" customWidth="1"/>
    <col min="43" max="43" width="12.42578125" bestFit="1" customWidth="1"/>
    <col min="44" max="44" width="12.7109375" bestFit="1" customWidth="1"/>
    <col min="45" max="45" width="11.7109375" bestFit="1" customWidth="1"/>
    <col min="46" max="46" width="12.42578125" bestFit="1" customWidth="1"/>
    <col min="47" max="47" width="12.7109375" bestFit="1" customWidth="1"/>
    <col min="48" max="48" width="11.7109375" bestFit="1" customWidth="1"/>
    <col min="49" max="49" width="12.42578125" bestFit="1" customWidth="1"/>
    <col min="50" max="50" width="12.7109375" bestFit="1" customWidth="1"/>
    <col min="51" max="51" width="11.7109375" bestFit="1" customWidth="1"/>
    <col min="52" max="52" width="12.42578125" bestFit="1" customWidth="1"/>
    <col min="53" max="53" width="12.7109375" bestFit="1" customWidth="1"/>
    <col min="54" max="54" width="11.7109375" bestFit="1" customWidth="1"/>
    <col min="55" max="55" width="12.42578125" bestFit="1" customWidth="1"/>
    <col min="56" max="56" width="12.7109375" bestFit="1" customWidth="1"/>
    <col min="57" max="57" width="11.7109375" bestFit="1" customWidth="1"/>
    <col min="58" max="58" width="12.42578125" bestFit="1" customWidth="1"/>
    <col min="59" max="59" width="12.7109375" bestFit="1" customWidth="1"/>
    <col min="60" max="60" width="11.7109375" bestFit="1" customWidth="1"/>
    <col min="61" max="61" width="12.42578125" bestFit="1" customWidth="1"/>
    <col min="62" max="62" width="12.7109375" bestFit="1" customWidth="1"/>
    <col min="63" max="63" width="11.7109375" bestFit="1" customWidth="1"/>
    <col min="64" max="64" width="12.42578125" bestFit="1" customWidth="1"/>
    <col min="65" max="65" width="12.7109375" bestFit="1" customWidth="1"/>
    <col min="66" max="66" width="11.7109375" bestFit="1" customWidth="1"/>
    <col min="67" max="67" width="12.42578125" bestFit="1" customWidth="1"/>
    <col min="68" max="68" width="12.7109375" bestFit="1" customWidth="1"/>
    <col min="69" max="69" width="11.7109375" bestFit="1" customWidth="1"/>
    <col min="70" max="70" width="12.42578125" bestFit="1" customWidth="1"/>
    <col min="71" max="71" width="12.7109375" bestFit="1" customWidth="1"/>
    <col min="72" max="72" width="11.7109375" bestFit="1" customWidth="1"/>
    <col min="73" max="73" width="12.42578125" bestFit="1" customWidth="1"/>
    <col min="74" max="74" width="12.7109375" bestFit="1" customWidth="1"/>
    <col min="75" max="75" width="11.7109375" bestFit="1" customWidth="1"/>
    <col min="76" max="76" width="12.42578125" bestFit="1" customWidth="1"/>
    <col min="77" max="77" width="12.7109375" bestFit="1" customWidth="1"/>
    <col min="78" max="78" width="11.7109375" bestFit="1" customWidth="1"/>
    <col min="79" max="79" width="12.42578125" bestFit="1" customWidth="1"/>
    <col min="80" max="80" width="12.7109375" bestFit="1" customWidth="1"/>
    <col min="81" max="81" width="11.7109375" bestFit="1" customWidth="1"/>
    <col min="82" max="82" width="12.42578125" bestFit="1" customWidth="1"/>
    <col min="83" max="83" width="12.7109375" bestFit="1" customWidth="1"/>
    <col min="84" max="84" width="11.7109375" bestFit="1" customWidth="1"/>
    <col min="85" max="85" width="12.42578125" bestFit="1" customWidth="1"/>
    <col min="86" max="86" width="12.7109375" bestFit="1" customWidth="1"/>
    <col min="87" max="87" width="11.7109375" bestFit="1" customWidth="1"/>
    <col min="88" max="88" width="12.42578125" bestFit="1" customWidth="1"/>
    <col min="89" max="89" width="12.7109375" bestFit="1" customWidth="1"/>
    <col min="90" max="90" width="11.7109375" bestFit="1" customWidth="1"/>
    <col min="91" max="91" width="12.42578125" bestFit="1" customWidth="1"/>
    <col min="92" max="92" width="12.7109375" bestFit="1" customWidth="1"/>
    <col min="93" max="93" width="11.7109375" bestFit="1" customWidth="1"/>
    <col min="94" max="94" width="12.42578125" bestFit="1" customWidth="1"/>
    <col min="95" max="95" width="12.7109375" bestFit="1" customWidth="1"/>
    <col min="96" max="96" width="11.7109375" bestFit="1" customWidth="1"/>
    <col min="97" max="97" width="12.42578125" bestFit="1" customWidth="1"/>
    <col min="98" max="98" width="12.7109375" bestFit="1" customWidth="1"/>
    <col min="99" max="99" width="11.7109375" bestFit="1" customWidth="1"/>
    <col min="100" max="100" width="12.42578125" bestFit="1" customWidth="1"/>
    <col min="101" max="101" width="14.7109375" bestFit="1" customWidth="1"/>
    <col min="102" max="102" width="15.85546875" bestFit="1" customWidth="1"/>
  </cols>
  <sheetData>
    <row r="1" spans="1:102" x14ac:dyDescent="0.25">
      <c r="E1">
        <v>2025</v>
      </c>
      <c r="F1">
        <v>2025</v>
      </c>
      <c r="G1">
        <v>2025</v>
      </c>
      <c r="H1">
        <v>2025</v>
      </c>
      <c r="I1">
        <v>2026</v>
      </c>
      <c r="J1">
        <v>2026</v>
      </c>
      <c r="K1">
        <v>2026</v>
      </c>
      <c r="L1">
        <v>2026</v>
      </c>
      <c r="M1">
        <v>2027</v>
      </c>
      <c r="N1">
        <v>2027</v>
      </c>
      <c r="O1">
        <v>2027</v>
      </c>
      <c r="P1">
        <v>2027</v>
      </c>
      <c r="Q1">
        <v>2028</v>
      </c>
      <c r="R1">
        <v>2028</v>
      </c>
      <c r="S1">
        <v>2028</v>
      </c>
      <c r="T1">
        <v>2029</v>
      </c>
      <c r="U1">
        <v>2029</v>
      </c>
      <c r="V1">
        <v>2029</v>
      </c>
      <c r="W1">
        <v>2030</v>
      </c>
      <c r="X1">
        <v>2030</v>
      </c>
      <c r="Y1">
        <v>2030</v>
      </c>
      <c r="Z1">
        <v>2031</v>
      </c>
      <c r="AA1">
        <v>2031</v>
      </c>
      <c r="AB1">
        <v>2031</v>
      </c>
      <c r="AC1">
        <v>2032</v>
      </c>
      <c r="AD1">
        <v>2032</v>
      </c>
      <c r="AE1">
        <v>2032</v>
      </c>
      <c r="AF1">
        <v>2033</v>
      </c>
      <c r="AG1">
        <v>2033</v>
      </c>
      <c r="AH1">
        <v>2033</v>
      </c>
      <c r="AI1">
        <v>2034</v>
      </c>
      <c r="AJ1">
        <v>2034</v>
      </c>
      <c r="AK1">
        <v>2034</v>
      </c>
      <c r="AL1">
        <v>2035</v>
      </c>
      <c r="AM1">
        <v>2035</v>
      </c>
      <c r="AN1">
        <v>2035</v>
      </c>
      <c r="AO1">
        <v>2036</v>
      </c>
      <c r="AP1">
        <v>2036</v>
      </c>
      <c r="AQ1">
        <v>2036</v>
      </c>
      <c r="AR1">
        <v>2037</v>
      </c>
      <c r="AS1">
        <v>2037</v>
      </c>
      <c r="AT1">
        <v>2037</v>
      </c>
      <c r="AU1">
        <v>2038</v>
      </c>
      <c r="AV1">
        <v>2038</v>
      </c>
      <c r="AW1">
        <v>2038</v>
      </c>
      <c r="AX1">
        <v>2039</v>
      </c>
      <c r="AY1">
        <v>2039</v>
      </c>
      <c r="AZ1">
        <v>2039</v>
      </c>
      <c r="BA1">
        <v>2040</v>
      </c>
      <c r="BB1">
        <v>2040</v>
      </c>
      <c r="BC1">
        <v>2040</v>
      </c>
      <c r="BD1">
        <v>2041</v>
      </c>
      <c r="BE1">
        <v>2041</v>
      </c>
      <c r="BF1">
        <v>2041</v>
      </c>
      <c r="BG1">
        <v>2042</v>
      </c>
      <c r="BH1">
        <v>2042</v>
      </c>
      <c r="BI1">
        <v>2042</v>
      </c>
      <c r="BJ1">
        <v>2043</v>
      </c>
      <c r="BK1">
        <v>2043</v>
      </c>
      <c r="BL1">
        <v>2043</v>
      </c>
      <c r="BM1">
        <v>2044</v>
      </c>
      <c r="BN1">
        <v>2044</v>
      </c>
      <c r="BO1">
        <v>2044</v>
      </c>
      <c r="BP1">
        <v>2045</v>
      </c>
      <c r="BQ1">
        <v>2045</v>
      </c>
      <c r="BR1">
        <v>2045</v>
      </c>
      <c r="BS1">
        <v>2046</v>
      </c>
      <c r="BT1">
        <v>2046</v>
      </c>
      <c r="BU1">
        <v>2046</v>
      </c>
      <c r="BV1">
        <v>2047</v>
      </c>
      <c r="BW1">
        <v>2047</v>
      </c>
      <c r="BX1">
        <v>2047</v>
      </c>
      <c r="BY1">
        <v>2048</v>
      </c>
      <c r="BZ1">
        <v>2048</v>
      </c>
      <c r="CA1">
        <v>2048</v>
      </c>
      <c r="CB1">
        <v>2049</v>
      </c>
      <c r="CC1">
        <v>2049</v>
      </c>
      <c r="CD1">
        <v>2049</v>
      </c>
      <c r="CE1">
        <v>2050</v>
      </c>
      <c r="CF1">
        <v>2050</v>
      </c>
      <c r="CG1">
        <v>2050</v>
      </c>
      <c r="CH1">
        <v>2051</v>
      </c>
      <c r="CI1">
        <v>2051</v>
      </c>
      <c r="CJ1">
        <v>2051</v>
      </c>
      <c r="CK1">
        <v>2052</v>
      </c>
      <c r="CL1">
        <v>2052</v>
      </c>
      <c r="CM1">
        <v>2052</v>
      </c>
      <c r="CN1">
        <v>2053</v>
      </c>
      <c r="CO1">
        <v>2053</v>
      </c>
      <c r="CP1">
        <v>2053</v>
      </c>
      <c r="CQ1">
        <v>2054</v>
      </c>
      <c r="CR1">
        <v>2054</v>
      </c>
      <c r="CS1">
        <v>2054</v>
      </c>
      <c r="CT1">
        <v>2055</v>
      </c>
      <c r="CU1">
        <v>2055</v>
      </c>
      <c r="CV1">
        <v>2055</v>
      </c>
    </row>
    <row r="2" spans="1:102" x14ac:dyDescent="0.25">
      <c r="A2" t="s">
        <v>0</v>
      </c>
      <c r="B2" t="s">
        <v>228</v>
      </c>
      <c r="C2" t="s">
        <v>229</v>
      </c>
      <c r="D2" t="s">
        <v>346</v>
      </c>
      <c r="E2" t="s">
        <v>103</v>
      </c>
      <c r="F2" t="s">
        <v>104</v>
      </c>
      <c r="G2" t="s">
        <v>105</v>
      </c>
      <c r="H2" s="50" t="s">
        <v>230</v>
      </c>
      <c r="I2" t="s">
        <v>103</v>
      </c>
      <c r="J2" t="s">
        <v>104</v>
      </c>
      <c r="K2" t="s">
        <v>105</v>
      </c>
      <c r="L2" s="50" t="s">
        <v>230</v>
      </c>
      <c r="M2" t="s">
        <v>103</v>
      </c>
      <c r="N2" t="s">
        <v>104</v>
      </c>
      <c r="O2" t="s">
        <v>105</v>
      </c>
      <c r="P2" s="50" t="s">
        <v>230</v>
      </c>
      <c r="Q2" t="s">
        <v>103</v>
      </c>
      <c r="R2" t="s">
        <v>104</v>
      </c>
      <c r="S2" t="s">
        <v>105</v>
      </c>
      <c r="T2" t="s">
        <v>103</v>
      </c>
      <c r="U2" t="s">
        <v>104</v>
      </c>
      <c r="V2" t="s">
        <v>105</v>
      </c>
      <c r="W2" t="s">
        <v>103</v>
      </c>
      <c r="X2" t="s">
        <v>104</v>
      </c>
      <c r="Y2" t="s">
        <v>105</v>
      </c>
      <c r="Z2" t="s">
        <v>103</v>
      </c>
      <c r="AA2" t="s">
        <v>104</v>
      </c>
      <c r="AB2" t="s">
        <v>105</v>
      </c>
      <c r="AC2" t="s">
        <v>103</v>
      </c>
      <c r="AD2" t="s">
        <v>104</v>
      </c>
      <c r="AE2" t="s">
        <v>105</v>
      </c>
      <c r="AF2" t="s">
        <v>103</v>
      </c>
      <c r="AG2" t="s">
        <v>104</v>
      </c>
      <c r="AH2" t="s">
        <v>105</v>
      </c>
      <c r="AI2" t="s">
        <v>103</v>
      </c>
      <c r="AJ2" t="s">
        <v>104</v>
      </c>
      <c r="AK2" t="s">
        <v>105</v>
      </c>
      <c r="AL2" t="s">
        <v>103</v>
      </c>
      <c r="AM2" t="s">
        <v>104</v>
      </c>
      <c r="AN2" t="s">
        <v>105</v>
      </c>
      <c r="AO2" t="s">
        <v>103</v>
      </c>
      <c r="AP2" t="s">
        <v>104</v>
      </c>
      <c r="AQ2" t="s">
        <v>105</v>
      </c>
      <c r="AR2" t="s">
        <v>103</v>
      </c>
      <c r="AS2" t="s">
        <v>104</v>
      </c>
      <c r="AT2" t="s">
        <v>105</v>
      </c>
      <c r="AU2" t="s">
        <v>103</v>
      </c>
      <c r="AV2" t="s">
        <v>104</v>
      </c>
      <c r="AW2" t="s">
        <v>105</v>
      </c>
      <c r="AX2" t="s">
        <v>103</v>
      </c>
      <c r="AY2" t="s">
        <v>104</v>
      </c>
      <c r="AZ2" t="s">
        <v>105</v>
      </c>
      <c r="BA2" t="s">
        <v>103</v>
      </c>
      <c r="BB2" t="s">
        <v>104</v>
      </c>
      <c r="BC2" t="s">
        <v>105</v>
      </c>
      <c r="BD2" t="s">
        <v>103</v>
      </c>
      <c r="BE2" t="s">
        <v>104</v>
      </c>
      <c r="BF2" t="s">
        <v>105</v>
      </c>
      <c r="BG2" t="s">
        <v>103</v>
      </c>
      <c r="BH2" t="s">
        <v>104</v>
      </c>
      <c r="BI2" t="s">
        <v>105</v>
      </c>
      <c r="BJ2" t="s">
        <v>103</v>
      </c>
      <c r="BK2" t="s">
        <v>104</v>
      </c>
      <c r="BL2" t="s">
        <v>105</v>
      </c>
      <c r="BM2" t="s">
        <v>103</v>
      </c>
      <c r="BN2" t="s">
        <v>104</v>
      </c>
      <c r="BO2" t="s">
        <v>105</v>
      </c>
      <c r="BP2" t="s">
        <v>103</v>
      </c>
      <c r="BQ2" t="s">
        <v>104</v>
      </c>
      <c r="BR2" t="s">
        <v>105</v>
      </c>
      <c r="BS2" t="s">
        <v>103</v>
      </c>
      <c r="BT2" t="s">
        <v>104</v>
      </c>
      <c r="BU2" t="s">
        <v>105</v>
      </c>
      <c r="BV2" t="s">
        <v>103</v>
      </c>
      <c r="BW2" t="s">
        <v>104</v>
      </c>
      <c r="BX2" t="s">
        <v>105</v>
      </c>
      <c r="BY2" t="s">
        <v>103</v>
      </c>
      <c r="BZ2" t="s">
        <v>104</v>
      </c>
      <c r="CA2" t="s">
        <v>105</v>
      </c>
      <c r="CB2" t="s">
        <v>103</v>
      </c>
      <c r="CC2" t="s">
        <v>104</v>
      </c>
      <c r="CD2" t="s">
        <v>105</v>
      </c>
      <c r="CE2" t="s">
        <v>103</v>
      </c>
      <c r="CF2" t="s">
        <v>104</v>
      </c>
      <c r="CG2" t="s">
        <v>105</v>
      </c>
      <c r="CH2" t="s">
        <v>103</v>
      </c>
      <c r="CI2" t="s">
        <v>104</v>
      </c>
      <c r="CJ2" t="s">
        <v>105</v>
      </c>
      <c r="CK2" t="s">
        <v>103</v>
      </c>
      <c r="CL2" t="s">
        <v>104</v>
      </c>
      <c r="CM2" t="s">
        <v>105</v>
      </c>
      <c r="CN2" t="s">
        <v>103</v>
      </c>
      <c r="CO2" t="s">
        <v>104</v>
      </c>
      <c r="CP2" t="s">
        <v>105</v>
      </c>
      <c r="CQ2" t="s">
        <v>103</v>
      </c>
      <c r="CR2" t="s">
        <v>104</v>
      </c>
      <c r="CS2" t="s">
        <v>105</v>
      </c>
      <c r="CT2" t="s">
        <v>103</v>
      </c>
      <c r="CU2" t="s">
        <v>104</v>
      </c>
      <c r="CV2" t="s">
        <v>105</v>
      </c>
      <c r="CW2" s="32" t="s">
        <v>121</v>
      </c>
      <c r="CX2" t="s">
        <v>1256</v>
      </c>
    </row>
    <row r="3" spans="1:102" x14ac:dyDescent="0.25">
      <c r="A3" t="s">
        <v>317</v>
      </c>
      <c r="B3">
        <v>2025</v>
      </c>
      <c r="C3" s="62">
        <v>3</v>
      </c>
      <c r="D3" t="s">
        <v>347</v>
      </c>
      <c r="E3" s="42">
        <v>790928.49690000003</v>
      </c>
      <c r="F3" s="42">
        <v>5743125.3203999996</v>
      </c>
      <c r="G3" s="42">
        <v>-4952196.8234999999</v>
      </c>
      <c r="H3" s="51">
        <v>-5347661.0719499998</v>
      </c>
      <c r="I3" s="42">
        <v>836970.25800000003</v>
      </c>
      <c r="J3" s="42">
        <v>5747038.8700000001</v>
      </c>
      <c r="K3" s="42">
        <v>-4910068.6120999996</v>
      </c>
      <c r="L3" s="51">
        <v>-5328553.7410000004</v>
      </c>
      <c r="M3" s="42">
        <v>875802.19669999997</v>
      </c>
      <c r="N3" s="42">
        <v>5750339.5848000003</v>
      </c>
      <c r="O3" s="42">
        <v>-4874537.3881999999</v>
      </c>
      <c r="P3" s="51">
        <v>-5312438.4864500007</v>
      </c>
      <c r="Q3" s="42">
        <v>911798.01520000002</v>
      </c>
      <c r="R3" s="42">
        <v>5753399.2293999996</v>
      </c>
      <c r="S3" s="51">
        <v>-4841601.2142000003</v>
      </c>
      <c r="T3" s="42">
        <v>945240.03830000001</v>
      </c>
      <c r="U3" s="42">
        <v>5756241.8014000002</v>
      </c>
      <c r="V3" s="51">
        <v>-4811001.7631000001</v>
      </c>
      <c r="W3" s="42">
        <v>977300.10919999995</v>
      </c>
      <c r="X3" s="42">
        <v>5758966.9073999999</v>
      </c>
      <c r="Y3" s="51">
        <v>-4781666.7982000001</v>
      </c>
      <c r="Z3" s="42">
        <v>1007326.6091</v>
      </c>
      <c r="AA3" s="42">
        <v>5761519.1599000003</v>
      </c>
      <c r="AB3" s="51">
        <v>-4754192.5508000003</v>
      </c>
      <c r="AC3" s="42">
        <v>1034930.1359</v>
      </c>
      <c r="AD3" s="42">
        <v>5763865.4596999995</v>
      </c>
      <c r="AE3" s="51">
        <v>-4728935.3238000004</v>
      </c>
      <c r="AF3" s="42">
        <v>1060489.5471999999</v>
      </c>
      <c r="AG3" s="42">
        <v>5766038.0096000005</v>
      </c>
      <c r="AH3" s="51">
        <v>-4705548.4623999996</v>
      </c>
      <c r="AI3" s="42">
        <v>1085876.9401</v>
      </c>
      <c r="AJ3" s="42">
        <v>5768195.9380000001</v>
      </c>
      <c r="AK3" s="51">
        <v>-4682318.9978999998</v>
      </c>
      <c r="AL3" s="42">
        <v>1111116.5907000001</v>
      </c>
      <c r="AM3" s="42">
        <v>5770341.3082999997</v>
      </c>
      <c r="AN3" s="51">
        <v>-4659224.7176999999</v>
      </c>
      <c r="AO3" s="42">
        <v>1136794.1958000001</v>
      </c>
      <c r="AP3" s="42">
        <v>5772523.9047999997</v>
      </c>
      <c r="AQ3" s="51">
        <v>-4635729.7089</v>
      </c>
      <c r="AR3" s="42">
        <v>1162092.9432999999</v>
      </c>
      <c r="AS3" s="42">
        <v>5774674.2982999999</v>
      </c>
      <c r="AT3" s="51">
        <v>-4612581.3550000004</v>
      </c>
      <c r="AU3" s="42">
        <v>1187534.1609</v>
      </c>
      <c r="AV3" s="42">
        <v>5776836.8017999995</v>
      </c>
      <c r="AW3" s="51">
        <v>-4589302.6409</v>
      </c>
      <c r="AX3" s="42">
        <v>1213069.2960000001</v>
      </c>
      <c r="AY3" s="42">
        <v>5779007.2883000001</v>
      </c>
      <c r="AZ3" s="51">
        <v>-4565937.9923</v>
      </c>
      <c r="BA3" s="42">
        <v>1239254.4971</v>
      </c>
      <c r="BB3" s="42">
        <v>5781233.0303999996</v>
      </c>
      <c r="BC3" s="51">
        <v>-4541978.5333000002</v>
      </c>
      <c r="BD3" s="42">
        <v>1265916.6810000001</v>
      </c>
      <c r="BE3" s="42">
        <v>5783499.3159999996</v>
      </c>
      <c r="BF3" s="51">
        <v>-4517582.6349999998</v>
      </c>
      <c r="BG3" s="42">
        <v>1292811.0449000001</v>
      </c>
      <c r="BH3" s="42">
        <v>5785785.3369000005</v>
      </c>
      <c r="BI3" s="51">
        <v>-4492974.2920000004</v>
      </c>
      <c r="BJ3" s="42">
        <v>1318937.1491</v>
      </c>
      <c r="BK3" s="42">
        <v>5788006.0558000002</v>
      </c>
      <c r="BL3" s="51">
        <v>-4469068.9067000002</v>
      </c>
      <c r="BM3" s="42">
        <v>1345294.3687</v>
      </c>
      <c r="BN3" s="42">
        <v>5790246.4194999998</v>
      </c>
      <c r="BO3" s="51">
        <v>-4444952.0508000003</v>
      </c>
      <c r="BP3" s="42">
        <v>1371568.2150999999</v>
      </c>
      <c r="BQ3" s="42">
        <v>5792479.6963999998</v>
      </c>
      <c r="BR3" s="51">
        <v>-4420911.4813000001</v>
      </c>
      <c r="BS3" s="42">
        <v>1397748.1439</v>
      </c>
      <c r="BT3" s="42">
        <v>5794704.9903999995</v>
      </c>
      <c r="BU3" s="51">
        <v>-4396956.8464000002</v>
      </c>
      <c r="BV3" s="42">
        <v>1423696.9574</v>
      </c>
      <c r="BW3" s="42">
        <v>5796910.6394999996</v>
      </c>
      <c r="BX3" s="51">
        <v>-4373213.6820999999</v>
      </c>
      <c r="BY3" s="42">
        <v>1449763.9646000001</v>
      </c>
      <c r="BZ3" s="42">
        <v>5799126.3350999998</v>
      </c>
      <c r="CA3" s="51">
        <v>-4349362.3705000002</v>
      </c>
      <c r="CB3" s="42">
        <v>1474850.6007999999</v>
      </c>
      <c r="CC3" s="42">
        <v>5801258.6991999997</v>
      </c>
      <c r="CD3" s="51">
        <v>-4326408.0983999996</v>
      </c>
      <c r="CE3" s="42">
        <v>1500090.2514</v>
      </c>
      <c r="CF3" s="42">
        <v>5803404.0695000002</v>
      </c>
      <c r="CG3" s="51">
        <v>-4303313.8180999998</v>
      </c>
      <c r="CH3" s="42">
        <v>1525743.5803</v>
      </c>
      <c r="CI3" s="42">
        <v>5805584.6024000002</v>
      </c>
      <c r="CJ3" s="51">
        <v>-4279841.0221999995</v>
      </c>
      <c r="CK3" s="42">
        <v>1551775.7668999999</v>
      </c>
      <c r="CL3" s="42">
        <v>5807797.3382999999</v>
      </c>
      <c r="CM3" s="51">
        <v>-4256021.5713999998</v>
      </c>
      <c r="CN3" s="42">
        <v>1588133.4646182507</v>
      </c>
      <c r="CO3" s="42">
        <v>5810887.7426166655</v>
      </c>
      <c r="CP3" s="51">
        <v>-4222754.2779984148</v>
      </c>
      <c r="CQ3" s="42">
        <v>1611950.6596787944</v>
      </c>
      <c r="CR3" s="42">
        <v>5812912.2042007921</v>
      </c>
      <c r="CS3" s="51">
        <v>-4200961.5445219977</v>
      </c>
      <c r="CT3" s="42">
        <v>1636497.395647049</v>
      </c>
      <c r="CU3" s="42">
        <v>5814998.6767555363</v>
      </c>
      <c r="CV3" s="51">
        <v>-4178501.2811084874</v>
      </c>
      <c r="CW3" s="64">
        <f>SUM(E3,I3,M3,Q3,T3,W3,Z3,AC3,AF3,AI3,AL3,AO3,AR3,AU3,AX3,BA3,BD3,BG3,BJ3,BM3,BP3,BS3,BV3,BY3,CB3,CE3,CH3,CK3,CN3,CQ3,CT3)</f>
        <v>38331302.274444096</v>
      </c>
      <c r="CX3" s="42">
        <f>SUM(E3/2,I3/2,M3/2,Q3,T3,W3,Z3,AC3,AF3,AI3,AL3,AO3,AR3,AU3,AX3,BA3,BD3,BG3,BJ3,BM3,BP3,BS3,BV3,BY3,CB3,CE3,CH3,CK3,CN3,CQ3)</f>
        <v>35442954.402997054</v>
      </c>
    </row>
    <row r="4" spans="1:102" x14ac:dyDescent="0.25">
      <c r="A4" t="s">
        <v>47</v>
      </c>
      <c r="B4">
        <v>2025</v>
      </c>
      <c r="C4">
        <v>3</v>
      </c>
      <c r="E4" s="42">
        <v>2302810.6699000001</v>
      </c>
      <c r="F4" s="42">
        <v>4209047.5903000003</v>
      </c>
      <c r="G4" s="42">
        <v>-1906236.9203999999</v>
      </c>
      <c r="H4" s="51">
        <v>-3057642.2553500002</v>
      </c>
      <c r="I4" s="42">
        <v>2597413.8949000002</v>
      </c>
      <c r="J4" s="42">
        <v>4232615.8482999997</v>
      </c>
      <c r="K4" s="42">
        <v>-1635201.9534</v>
      </c>
      <c r="L4" s="51">
        <v>-2933908.9008499999</v>
      </c>
      <c r="M4" s="42">
        <v>2790999.5654000002</v>
      </c>
      <c r="N4" s="42">
        <v>4248102.7019999996</v>
      </c>
      <c r="O4" s="42">
        <v>-1457103.1366000001</v>
      </c>
      <c r="P4" s="51">
        <v>-2852602.9192999993</v>
      </c>
      <c r="Q4" s="42">
        <v>2947557.3177</v>
      </c>
      <c r="R4" s="42">
        <v>4260627.3221000005</v>
      </c>
      <c r="S4" s="51">
        <v>-1313070.0045</v>
      </c>
      <c r="T4" s="42">
        <v>3078180.7744999998</v>
      </c>
      <c r="U4" s="42">
        <v>4271077.1986999996</v>
      </c>
      <c r="V4" s="51">
        <v>-1192896.4242</v>
      </c>
      <c r="W4" s="42">
        <v>3215433.2622000002</v>
      </c>
      <c r="X4" s="42">
        <v>4282057.3976999996</v>
      </c>
      <c r="Y4" s="51">
        <v>-1066624.1355000001</v>
      </c>
      <c r="Z4" s="42">
        <v>3334360.7587000001</v>
      </c>
      <c r="AA4" s="42">
        <v>4291571.5974000003</v>
      </c>
      <c r="AB4" s="51">
        <v>-957210.83869999996</v>
      </c>
      <c r="AC4" s="42">
        <v>3457535.4685</v>
      </c>
      <c r="AD4" s="42">
        <v>4301425.5741999997</v>
      </c>
      <c r="AE4" s="51">
        <v>-843890.10569999996</v>
      </c>
      <c r="AF4" s="42">
        <v>3561323.7711999998</v>
      </c>
      <c r="AG4" s="42">
        <v>4309728.6383999996</v>
      </c>
      <c r="AH4" s="51">
        <v>-748404.86719999998</v>
      </c>
      <c r="AI4" s="42">
        <v>3677576.0622999999</v>
      </c>
      <c r="AJ4" s="42">
        <v>4319028.8217000002</v>
      </c>
      <c r="AK4" s="51">
        <v>-641452.75939999998</v>
      </c>
      <c r="AL4" s="42">
        <v>3780066.7489</v>
      </c>
      <c r="AM4" s="42">
        <v>4327228.0766000003</v>
      </c>
      <c r="AN4" s="51">
        <v>-547161.32770000002</v>
      </c>
      <c r="AO4" s="42">
        <v>3901334.5493000001</v>
      </c>
      <c r="AP4" s="42">
        <v>4336929.5006999997</v>
      </c>
      <c r="AQ4" s="51">
        <v>-435594.95140000002</v>
      </c>
      <c r="AR4" s="42">
        <v>4005424.2746000001</v>
      </c>
      <c r="AS4" s="42">
        <v>4345256.6787</v>
      </c>
      <c r="AT4" s="51">
        <v>-339832.40409999999</v>
      </c>
      <c r="AU4" s="42">
        <v>4125968.4794999999</v>
      </c>
      <c r="AV4" s="42">
        <v>4354900.2150999997</v>
      </c>
      <c r="AW4" s="51">
        <v>-228931.73560000001</v>
      </c>
      <c r="AX4" s="42">
        <v>4230135.9305999996</v>
      </c>
      <c r="AY4" s="42">
        <v>4363233.6112000002</v>
      </c>
      <c r="AZ4" s="51">
        <v>-133097.68059999999</v>
      </c>
      <c r="BA4" s="42">
        <v>4354792.6357000005</v>
      </c>
      <c r="BB4" s="42">
        <v>4373206.1475999998</v>
      </c>
      <c r="BC4" s="51">
        <v>-18413.5118</v>
      </c>
      <c r="BD4" s="42">
        <v>4458535.4797999999</v>
      </c>
      <c r="BE4" s="42">
        <v>4381505.5751</v>
      </c>
      <c r="BF4" s="51">
        <v>77029.904699999999</v>
      </c>
      <c r="BG4" s="42">
        <v>4583706.4020999996</v>
      </c>
      <c r="BH4" s="42">
        <v>4391519.2489</v>
      </c>
      <c r="BI4" s="51">
        <v>192187.1532</v>
      </c>
      <c r="BJ4" s="42">
        <v>4691234.3455999997</v>
      </c>
      <c r="BK4" s="42">
        <v>4400121.4844000004</v>
      </c>
      <c r="BL4" s="51">
        <v>291112.86129999999</v>
      </c>
      <c r="BM4" s="42">
        <v>4817538.0559</v>
      </c>
      <c r="BN4" s="42">
        <v>4410225.7812000001</v>
      </c>
      <c r="BO4" s="51">
        <v>407312.27470000001</v>
      </c>
      <c r="BP4" s="42">
        <v>4928582.2065000003</v>
      </c>
      <c r="BQ4" s="42">
        <v>4419109.3132999996</v>
      </c>
      <c r="BR4" s="51">
        <v>509472.8933</v>
      </c>
      <c r="BS4" s="42">
        <v>5042772.7037000004</v>
      </c>
      <c r="BT4" s="42">
        <v>4428244.5530000003</v>
      </c>
      <c r="BU4" s="51">
        <v>614528.1507</v>
      </c>
      <c r="BV4" s="42">
        <v>5140717.1326000001</v>
      </c>
      <c r="BW4" s="42">
        <v>4436080.1073000003</v>
      </c>
      <c r="BX4" s="51">
        <v>704637.02520000003</v>
      </c>
      <c r="BY4" s="42">
        <v>5259561.9705999997</v>
      </c>
      <c r="BZ4" s="42">
        <v>4445587.6944000004</v>
      </c>
      <c r="CA4" s="51">
        <v>813974.27619999996</v>
      </c>
      <c r="CB4" s="42">
        <v>5355384.3591999998</v>
      </c>
      <c r="CC4" s="42">
        <v>4453253.4855000004</v>
      </c>
      <c r="CD4" s="51">
        <v>902130.8737</v>
      </c>
      <c r="CE4" s="42">
        <v>5471559.3187999995</v>
      </c>
      <c r="CF4" s="42">
        <v>4462547.4822000004</v>
      </c>
      <c r="CG4" s="51">
        <v>1009011.8366</v>
      </c>
      <c r="CH4" s="42">
        <v>5590134.7411000002</v>
      </c>
      <c r="CI4" s="42">
        <v>4472033.5159999998</v>
      </c>
      <c r="CJ4" s="51">
        <v>1118101.2250999999</v>
      </c>
      <c r="CK4" s="42">
        <v>5711159.8054</v>
      </c>
      <c r="CL4" s="42">
        <v>4481715.5212000003</v>
      </c>
      <c r="CM4" s="51">
        <v>1229444.2842999999</v>
      </c>
      <c r="CN4" s="42">
        <v>5865864.2377476096</v>
      </c>
      <c r="CO4" s="42">
        <v>4494091.8757595234</v>
      </c>
      <c r="CP4" s="51">
        <v>1371772.3619880863</v>
      </c>
      <c r="CQ4" s="42">
        <v>5962704.4146782458</v>
      </c>
      <c r="CR4" s="42">
        <v>4501839.0899140611</v>
      </c>
      <c r="CS4" s="51">
        <v>1460865.3247641847</v>
      </c>
      <c r="CT4" s="42">
        <v>6068481.9080128372</v>
      </c>
      <c r="CU4" s="42">
        <v>4510301.289380677</v>
      </c>
      <c r="CV4" s="51">
        <v>1558180.6186321601</v>
      </c>
      <c r="CW4" s="64">
        <f t="shared" ref="CW4:CW22" si="0">SUM(E4,I4,M4,Q4,T4,W4,Z4,AC4,AF4,AI4,AL4,AO4,AR4,AU4,AX4,BA4,BD4,BG4,BJ4,BM4,BP4,BS4,BV4,BY4,CB4,CE4,CH4,CK4,CN4,CQ4,CT4)</f>
        <v>134308851.2456387</v>
      </c>
      <c r="CX4" s="42">
        <f t="shared" ref="CX4:CX22" si="1">SUM(E4/2,I4/2,M4/2,Q4,T4,W4,Z4,AC4,AF4,AI4,AL4,AO4,AR4,AU4,AX4,BA4,BD4,BG4,BJ4,BM4,BP4,BS4,BV4,BY4,CB4,CE4,CH4,CK4,CN4,CQ4)</f>
        <v>124394757.27252585</v>
      </c>
    </row>
    <row r="5" spans="1:102" x14ac:dyDescent="0.25">
      <c r="A5" t="s">
        <v>36</v>
      </c>
      <c r="B5">
        <v>2025</v>
      </c>
      <c r="C5">
        <v>3</v>
      </c>
      <c r="D5" t="s">
        <v>347</v>
      </c>
      <c r="E5" s="42">
        <v>1033581.4271</v>
      </c>
      <c r="F5" s="42">
        <v>4935465.3117000004</v>
      </c>
      <c r="G5" s="42">
        <v>-3901883.8846</v>
      </c>
      <c r="H5" s="51">
        <v>-4418674.59815</v>
      </c>
      <c r="I5" s="42">
        <v>1098517.9676999999</v>
      </c>
      <c r="J5" s="42">
        <v>4940660.2350000003</v>
      </c>
      <c r="K5" s="42">
        <v>-3842142.2672999999</v>
      </c>
      <c r="L5" s="51">
        <v>-4391401.2511500008</v>
      </c>
      <c r="M5" s="42">
        <v>1149415.2383999999</v>
      </c>
      <c r="N5" s="42">
        <v>4944732.0165999997</v>
      </c>
      <c r="O5" s="42">
        <v>-3795316.7782000001</v>
      </c>
      <c r="P5" s="51">
        <v>-4370024.3974000001</v>
      </c>
      <c r="Q5" s="42">
        <v>1193531.1392999999</v>
      </c>
      <c r="R5" s="42">
        <v>4948261.2887000004</v>
      </c>
      <c r="S5" s="51">
        <v>-3754730.1494</v>
      </c>
      <c r="T5" s="42">
        <v>1233597.0554</v>
      </c>
      <c r="U5" s="42">
        <v>4951466.5619999999</v>
      </c>
      <c r="V5" s="51">
        <v>-3717869.5066</v>
      </c>
      <c r="W5" s="42">
        <v>1270837.4007000001</v>
      </c>
      <c r="X5" s="42">
        <v>4954445.7895999998</v>
      </c>
      <c r="Y5" s="51">
        <v>-3683608.3889000001</v>
      </c>
      <c r="Z5" s="42">
        <v>1304587.2738000001</v>
      </c>
      <c r="AA5" s="42">
        <v>4957145.7795000002</v>
      </c>
      <c r="AB5" s="51">
        <v>-3652558.5057000001</v>
      </c>
      <c r="AC5" s="42">
        <v>1334939.2102000001</v>
      </c>
      <c r="AD5" s="42">
        <v>4959573.9343999997</v>
      </c>
      <c r="AE5" s="51">
        <v>-3624634.7241000002</v>
      </c>
      <c r="AF5" s="42">
        <v>1362564.1454</v>
      </c>
      <c r="AG5" s="42">
        <v>4961783.9292000001</v>
      </c>
      <c r="AH5" s="51">
        <v>-3599219.7837999999</v>
      </c>
      <c r="AI5" s="42">
        <v>1389564.0438000001</v>
      </c>
      <c r="AJ5" s="42">
        <v>4963943.9210999999</v>
      </c>
      <c r="AK5" s="51">
        <v>-3574379.8772</v>
      </c>
      <c r="AL5" s="42">
        <v>1416035.825</v>
      </c>
      <c r="AM5" s="42">
        <v>4966061.6635999996</v>
      </c>
      <c r="AN5" s="51">
        <v>-3550025.8385000001</v>
      </c>
      <c r="AO5" s="42">
        <v>1443198.3012999999</v>
      </c>
      <c r="AP5" s="42">
        <v>4968234.6617000001</v>
      </c>
      <c r="AQ5" s="51">
        <v>-3525036.3602999998</v>
      </c>
      <c r="AR5" s="42">
        <v>1469256.3428</v>
      </c>
      <c r="AS5" s="42">
        <v>4970319.3049999997</v>
      </c>
      <c r="AT5" s="51">
        <v>-3501062.9622</v>
      </c>
      <c r="AU5" s="42">
        <v>1495602.5430999999</v>
      </c>
      <c r="AV5" s="42">
        <v>4972427.0010000002</v>
      </c>
      <c r="AW5" s="51">
        <v>-3476824.4578999998</v>
      </c>
      <c r="AX5" s="42">
        <v>1521597.7941000001</v>
      </c>
      <c r="AY5" s="42">
        <v>4974506.6211000001</v>
      </c>
      <c r="AZ5" s="51">
        <v>-3452908.8269000002</v>
      </c>
      <c r="BA5" s="42">
        <v>1548383.5277</v>
      </c>
      <c r="BB5" s="42">
        <v>4976649.4797999999</v>
      </c>
      <c r="BC5" s="51">
        <v>-3428265.9520999999</v>
      </c>
      <c r="BD5" s="42">
        <v>1575263.4469000001</v>
      </c>
      <c r="BE5" s="42">
        <v>4978799.8733000001</v>
      </c>
      <c r="BF5" s="51">
        <v>-3403536.4264000002</v>
      </c>
      <c r="BG5" s="42">
        <v>1602357.531</v>
      </c>
      <c r="BH5" s="42">
        <v>4980967.4000000004</v>
      </c>
      <c r="BI5" s="51">
        <v>-3378609.8690999998</v>
      </c>
      <c r="BJ5" s="42">
        <v>1628201.4076</v>
      </c>
      <c r="BK5" s="42">
        <v>4983034.9101999998</v>
      </c>
      <c r="BL5" s="51">
        <v>-3354833.5025999998</v>
      </c>
      <c r="BM5" s="42">
        <v>1654165.2634000001</v>
      </c>
      <c r="BN5" s="42">
        <v>4985112.0186000001</v>
      </c>
      <c r="BO5" s="51">
        <v>-3330946.7552</v>
      </c>
      <c r="BP5" s="42">
        <v>1679506.8163000001</v>
      </c>
      <c r="BQ5" s="42">
        <v>4987139.3428999996</v>
      </c>
      <c r="BR5" s="51">
        <v>-3307632.5266</v>
      </c>
      <c r="BS5" s="42">
        <v>1703856.662</v>
      </c>
      <c r="BT5" s="42">
        <v>4989087.3305000002</v>
      </c>
      <c r="BU5" s="51">
        <v>-3285230.6685000001</v>
      </c>
      <c r="BV5" s="42">
        <v>1727423.4055999999</v>
      </c>
      <c r="BW5" s="42">
        <v>4990972.67</v>
      </c>
      <c r="BX5" s="51">
        <v>-3263549.2644000002</v>
      </c>
      <c r="BY5" s="42">
        <v>1750755.6636999999</v>
      </c>
      <c r="BZ5" s="42">
        <v>4992839.2506999997</v>
      </c>
      <c r="CA5" s="51">
        <v>-3242083.5869</v>
      </c>
      <c r="CB5" s="42">
        <v>1772512.5586000001</v>
      </c>
      <c r="CC5" s="42">
        <v>4994579.8022999996</v>
      </c>
      <c r="CD5" s="51">
        <v>-3222067.2436000002</v>
      </c>
      <c r="CE5" s="42">
        <v>1794049.6869000001</v>
      </c>
      <c r="CF5" s="42">
        <v>4996302.7725</v>
      </c>
      <c r="CG5" s="51">
        <v>-3202253.0855999999</v>
      </c>
      <c r="CH5" s="42">
        <v>1816157.531</v>
      </c>
      <c r="CI5" s="42">
        <v>4998071.4000000004</v>
      </c>
      <c r="CJ5" s="51">
        <v>-3181913.8689999999</v>
      </c>
      <c r="CK5" s="42">
        <v>1838636.5162</v>
      </c>
      <c r="CL5" s="42">
        <v>4999869.7188999997</v>
      </c>
      <c r="CM5" s="51">
        <v>-3161233.2026</v>
      </c>
      <c r="CN5" s="42">
        <v>1899108.0893857107</v>
      </c>
      <c r="CO5" s="42">
        <v>5004707.4447222212</v>
      </c>
      <c r="CP5" s="51">
        <v>-3105599.3553365106</v>
      </c>
      <c r="CQ5" s="42">
        <v>1920629.2334725633</v>
      </c>
      <c r="CR5" s="42">
        <v>5006429.1362468265</v>
      </c>
      <c r="CS5" s="51">
        <v>-3085799.9027742632</v>
      </c>
      <c r="CT5" s="42">
        <v>1943509.2611885965</v>
      </c>
      <c r="CU5" s="42">
        <v>5008259.5384652438</v>
      </c>
      <c r="CV5" s="51">
        <v>-3064750.2772766473</v>
      </c>
      <c r="CW5" s="64">
        <f t="shared" si="0"/>
        <v>47571342.309046872</v>
      </c>
      <c r="CX5" s="42">
        <f t="shared" si="1"/>
        <v>43987075.731258273</v>
      </c>
    </row>
    <row r="6" spans="1:102" x14ac:dyDescent="0.25">
      <c r="A6" t="s">
        <v>321</v>
      </c>
      <c r="B6">
        <v>2025</v>
      </c>
      <c r="C6" s="62">
        <v>4</v>
      </c>
      <c r="D6" t="s">
        <v>348</v>
      </c>
      <c r="E6" s="42">
        <v>7491457.5376000004</v>
      </c>
      <c r="F6" s="42">
        <v>8152684.2662000004</v>
      </c>
      <c r="G6" s="42">
        <v>-661226.72860000003</v>
      </c>
      <c r="H6" s="51">
        <v>-4406955.4974000007</v>
      </c>
      <c r="I6" s="42">
        <v>7931974.9348999998</v>
      </c>
      <c r="J6" s="42">
        <v>8187925.6579999998</v>
      </c>
      <c r="K6" s="42">
        <v>-255950.7231</v>
      </c>
      <c r="L6" s="51">
        <v>-4221938.1905499995</v>
      </c>
      <c r="M6" s="42">
        <v>8292185.8140000002</v>
      </c>
      <c r="N6" s="42">
        <v>8216742.5283000004</v>
      </c>
      <c r="O6" s="42">
        <v>75443.285699999993</v>
      </c>
      <c r="P6" s="51">
        <v>-4070649.6213000002</v>
      </c>
      <c r="Q6" s="42">
        <v>8614241.5672999993</v>
      </c>
      <c r="R6" s="42">
        <v>8242506.9885999998</v>
      </c>
      <c r="S6" s="51">
        <v>371734.57880000002</v>
      </c>
      <c r="T6" s="42">
        <v>8908367.6092000008</v>
      </c>
      <c r="U6" s="42">
        <v>8266037.0718999999</v>
      </c>
      <c r="V6" s="51">
        <v>642330.53729999997</v>
      </c>
      <c r="W6" s="42">
        <v>9185439.2489999998</v>
      </c>
      <c r="X6" s="42">
        <v>8288202.8031000001</v>
      </c>
      <c r="Y6" s="51">
        <v>897236.44590000005</v>
      </c>
      <c r="Z6" s="42">
        <v>9436366.2393999994</v>
      </c>
      <c r="AA6" s="42">
        <v>8308276.9622999998</v>
      </c>
      <c r="AB6" s="51">
        <v>1128089.2771000001</v>
      </c>
      <c r="AC6" s="42">
        <v>9660353.7134000007</v>
      </c>
      <c r="AD6" s="42">
        <v>8326195.9601999996</v>
      </c>
      <c r="AE6" s="51">
        <v>1334157.7531000001</v>
      </c>
      <c r="AF6" s="42">
        <v>9861542.4493000004</v>
      </c>
      <c r="AG6" s="42">
        <v>8342291.0591000002</v>
      </c>
      <c r="AH6" s="51">
        <v>1519251.3902</v>
      </c>
      <c r="AI6" s="42">
        <v>10059670.2432</v>
      </c>
      <c r="AJ6" s="42">
        <v>8358141.2825999996</v>
      </c>
      <c r="AK6" s="51">
        <v>1701528.9606000001</v>
      </c>
      <c r="AL6" s="42">
        <v>10252337.817500001</v>
      </c>
      <c r="AM6" s="42">
        <v>8373554.6886</v>
      </c>
      <c r="AN6" s="51">
        <v>1878783.1288999999</v>
      </c>
      <c r="AO6" s="42">
        <v>10448915.134400001</v>
      </c>
      <c r="AP6" s="42">
        <v>8389280.8739</v>
      </c>
      <c r="AQ6" s="51">
        <v>2059634.2605000001</v>
      </c>
      <c r="AR6" s="42">
        <v>10637511.532099999</v>
      </c>
      <c r="AS6" s="42">
        <v>8404368.5856999997</v>
      </c>
      <c r="AT6" s="51">
        <v>2233142.9463999998</v>
      </c>
      <c r="AU6" s="42">
        <v>10828579.8837</v>
      </c>
      <c r="AV6" s="42">
        <v>8419654.0538999997</v>
      </c>
      <c r="AW6" s="51">
        <v>2408925.8297999999</v>
      </c>
      <c r="AX6" s="42">
        <v>11015091.659499999</v>
      </c>
      <c r="AY6" s="42">
        <v>8434574.9958999995</v>
      </c>
      <c r="AZ6" s="51">
        <v>2580516.6634999998</v>
      </c>
      <c r="BA6" s="42">
        <v>11206170.060799999</v>
      </c>
      <c r="BB6" s="42">
        <v>8449861.2679999992</v>
      </c>
      <c r="BC6" s="51">
        <v>2756308.7927999999</v>
      </c>
      <c r="BD6" s="42">
        <v>11397498.1018</v>
      </c>
      <c r="BE6" s="42">
        <v>8465167.5112999994</v>
      </c>
      <c r="BF6" s="51">
        <v>2932330.5904999999</v>
      </c>
      <c r="BG6" s="42">
        <v>11588995.397</v>
      </c>
      <c r="BH6" s="42">
        <v>8480487.2949000001</v>
      </c>
      <c r="BI6" s="51">
        <v>3108508.1020999998</v>
      </c>
      <c r="BJ6" s="42">
        <v>11770082.6845</v>
      </c>
      <c r="BK6" s="42">
        <v>8494974.2778999992</v>
      </c>
      <c r="BL6" s="51">
        <v>3275108.4065999999</v>
      </c>
      <c r="BM6" s="42">
        <v>11952165.3051</v>
      </c>
      <c r="BN6" s="42">
        <v>8509540.8875999991</v>
      </c>
      <c r="BO6" s="51">
        <v>3442624.4175</v>
      </c>
      <c r="BP6" s="42">
        <v>12127143.793400001</v>
      </c>
      <c r="BQ6" s="42">
        <v>8523539.1666999999</v>
      </c>
      <c r="BR6" s="51">
        <v>3603604.6268000002</v>
      </c>
      <c r="BS6" s="42">
        <v>12292115.6953</v>
      </c>
      <c r="BT6" s="42">
        <v>8536736.9188000001</v>
      </c>
      <c r="BU6" s="51">
        <v>3755378.7765000002</v>
      </c>
      <c r="BV6" s="42">
        <v>12448416.6237</v>
      </c>
      <c r="BW6" s="42">
        <v>8549240.9931000005</v>
      </c>
      <c r="BX6" s="51">
        <v>3899175.6307000001</v>
      </c>
      <c r="BY6" s="42">
        <v>12602821.8069</v>
      </c>
      <c r="BZ6" s="42">
        <v>8561593.4077000003</v>
      </c>
      <c r="CA6" s="51">
        <v>4041228.3991999999</v>
      </c>
      <c r="CB6" s="42">
        <v>12743708.1609</v>
      </c>
      <c r="CC6" s="42">
        <v>8572864.3159999996</v>
      </c>
      <c r="CD6" s="51">
        <v>4170843.8448000001</v>
      </c>
      <c r="CE6" s="42">
        <v>12881752.960100001</v>
      </c>
      <c r="CF6" s="42">
        <v>8583907.9000000004</v>
      </c>
      <c r="CG6" s="51">
        <v>4297845.0601000004</v>
      </c>
      <c r="CH6" s="42">
        <v>13022463.044199999</v>
      </c>
      <c r="CI6" s="42">
        <v>8595164.7067000009</v>
      </c>
      <c r="CJ6" s="51">
        <v>4427298.3375000004</v>
      </c>
      <c r="CK6" s="42">
        <v>13164148.729599999</v>
      </c>
      <c r="CL6" s="42">
        <v>8606499.5614999998</v>
      </c>
      <c r="CM6" s="51">
        <v>4557649.1679999996</v>
      </c>
      <c r="CN6" s="42">
        <v>13666863.865548432</v>
      </c>
      <c r="CO6" s="42">
        <v>8646716.7724007964</v>
      </c>
      <c r="CP6" s="51">
        <v>5020147.0931476355</v>
      </c>
      <c r="CQ6" s="42">
        <v>13818424.240215659</v>
      </c>
      <c r="CR6" s="42">
        <v>8658841.6023747213</v>
      </c>
      <c r="CS6" s="51">
        <v>5159582.6378409378</v>
      </c>
      <c r="CT6" s="42">
        <v>13977586.63384372</v>
      </c>
      <c r="CU6" s="42">
        <v>8671574.5938671306</v>
      </c>
      <c r="CV6" s="51">
        <v>5306012.0399765894</v>
      </c>
      <c r="CW6" s="64">
        <f t="shared" si="0"/>
        <v>343284392.4874078</v>
      </c>
      <c r="CX6" s="42">
        <f t="shared" si="1"/>
        <v>317448996.71031404</v>
      </c>
    </row>
    <row r="7" spans="1:102" x14ac:dyDescent="0.25">
      <c r="A7" t="s">
        <v>39</v>
      </c>
      <c r="B7">
        <v>2025</v>
      </c>
      <c r="C7">
        <v>3</v>
      </c>
      <c r="E7" s="42">
        <v>1076881.0519999999</v>
      </c>
      <c r="F7" s="42">
        <v>3307652.6872999999</v>
      </c>
      <c r="G7" s="42">
        <v>-2230771.6353000002</v>
      </c>
      <c r="H7" s="51">
        <v>-2769212.1612999998</v>
      </c>
      <c r="I7" s="42">
        <v>1139776.9025999999</v>
      </c>
      <c r="J7" s="42">
        <v>3312684.3553999998</v>
      </c>
      <c r="K7" s="42">
        <v>-2172907.4528000001</v>
      </c>
      <c r="L7" s="51">
        <v>-2742795.9040999999</v>
      </c>
      <c r="M7" s="42">
        <v>1193154.3965</v>
      </c>
      <c r="N7" s="42">
        <v>3316954.5548999999</v>
      </c>
      <c r="O7" s="42">
        <v>-2123800.1584000001</v>
      </c>
      <c r="P7" s="51">
        <v>-2720377.35665</v>
      </c>
      <c r="Q7" s="42">
        <v>1242010.9772000001</v>
      </c>
      <c r="R7" s="42">
        <v>3320863.0814</v>
      </c>
      <c r="S7" s="51">
        <v>-2078852.1041000001</v>
      </c>
      <c r="T7" s="42">
        <v>1288293.149</v>
      </c>
      <c r="U7" s="42">
        <v>3324565.6551000001</v>
      </c>
      <c r="V7" s="51">
        <v>-2036272.5061000001</v>
      </c>
      <c r="W7" s="42">
        <v>1333243.8677999999</v>
      </c>
      <c r="X7" s="42">
        <v>3328161.7126000002</v>
      </c>
      <c r="Y7" s="51">
        <v>-1994917.8448000001</v>
      </c>
      <c r="Z7" s="42">
        <v>1375718.7471</v>
      </c>
      <c r="AA7" s="42">
        <v>3331559.7028999999</v>
      </c>
      <c r="AB7" s="51">
        <v>-1955840.9558999999</v>
      </c>
      <c r="AC7" s="42">
        <v>1414528.8540000001</v>
      </c>
      <c r="AD7" s="42">
        <v>3334664.5115</v>
      </c>
      <c r="AE7" s="51">
        <v>-1920135.6575</v>
      </c>
      <c r="AF7" s="42">
        <v>1450921.5281</v>
      </c>
      <c r="AG7" s="42">
        <v>3337575.9254000001</v>
      </c>
      <c r="AH7" s="51">
        <v>-1886654.3973000001</v>
      </c>
      <c r="AI7" s="42">
        <v>1487157.2261000001</v>
      </c>
      <c r="AJ7" s="42">
        <v>3340474.7812999999</v>
      </c>
      <c r="AK7" s="51">
        <v>-1853317.5552000001</v>
      </c>
      <c r="AL7" s="42">
        <v>1523136.1603999999</v>
      </c>
      <c r="AM7" s="42">
        <v>3343353.0959999999</v>
      </c>
      <c r="AN7" s="51">
        <v>-1820216.9356</v>
      </c>
      <c r="AO7" s="42">
        <v>1560093.9487000001</v>
      </c>
      <c r="AP7" s="42">
        <v>3346309.7190999999</v>
      </c>
      <c r="AQ7" s="51">
        <v>-1786215.7704</v>
      </c>
      <c r="AR7" s="42">
        <v>1596643.5989999999</v>
      </c>
      <c r="AS7" s="42">
        <v>3349233.6910999999</v>
      </c>
      <c r="AT7" s="51">
        <v>-1752590.0921</v>
      </c>
      <c r="AU7" s="42">
        <v>1633726.9682</v>
      </c>
      <c r="AV7" s="42">
        <v>3352200.3605999998</v>
      </c>
      <c r="AW7" s="51">
        <v>-1718473.3924</v>
      </c>
      <c r="AX7" s="42">
        <v>1670967.3134999999</v>
      </c>
      <c r="AY7" s="42">
        <v>3355179.5882999999</v>
      </c>
      <c r="AZ7" s="51">
        <v>-1684212.2747</v>
      </c>
      <c r="BA7" s="42">
        <v>1709356.4291000001</v>
      </c>
      <c r="BB7" s="42">
        <v>3358250.7174999998</v>
      </c>
      <c r="BC7" s="51">
        <v>-1648894.2884</v>
      </c>
      <c r="BD7" s="42">
        <v>1748332.6292000001</v>
      </c>
      <c r="BE7" s="42">
        <v>3361368.8135000002</v>
      </c>
      <c r="BF7" s="51">
        <v>-1613036.1843000001</v>
      </c>
      <c r="BG7" s="42">
        <v>1787959.0120999999</v>
      </c>
      <c r="BH7" s="42">
        <v>3364538.9240999999</v>
      </c>
      <c r="BI7" s="51">
        <v>-1576579.912</v>
      </c>
      <c r="BJ7" s="42">
        <v>1826863.3047</v>
      </c>
      <c r="BK7" s="42">
        <v>3367651.2675999999</v>
      </c>
      <c r="BL7" s="51">
        <v>-1540787.9628999999</v>
      </c>
      <c r="BM7" s="42">
        <v>1866575.4036999999</v>
      </c>
      <c r="BN7" s="42">
        <v>3370828.2355</v>
      </c>
      <c r="BO7" s="51">
        <v>-1504252.8318</v>
      </c>
      <c r="BP7" s="42">
        <v>1905950.6247</v>
      </c>
      <c r="BQ7" s="42">
        <v>3373978.2532000002</v>
      </c>
      <c r="BR7" s="51">
        <v>-1468027.6284</v>
      </c>
      <c r="BS7" s="42">
        <v>1946016.5408000001</v>
      </c>
      <c r="BT7" s="42">
        <v>3377183.5263999999</v>
      </c>
      <c r="BU7" s="51">
        <v>-1431166.9856</v>
      </c>
      <c r="BV7" s="42">
        <v>1986396.4092999999</v>
      </c>
      <c r="BW7" s="42">
        <v>3380413.9158999999</v>
      </c>
      <c r="BX7" s="51">
        <v>-1394017.5067</v>
      </c>
      <c r="BY7" s="42">
        <v>2027247.2061000001</v>
      </c>
      <c r="BZ7" s="42">
        <v>3383681.9797</v>
      </c>
      <c r="CA7" s="51">
        <v>-1356434.7734999999</v>
      </c>
      <c r="CB7" s="42">
        <v>2067237.4785</v>
      </c>
      <c r="CC7" s="42">
        <v>3386881.2015</v>
      </c>
      <c r="CD7" s="51">
        <v>-1319643.723</v>
      </c>
      <c r="CE7" s="42">
        <v>2107428.9755000002</v>
      </c>
      <c r="CF7" s="42">
        <v>3390096.5211999998</v>
      </c>
      <c r="CG7" s="51">
        <v>-1282667.5456999999</v>
      </c>
      <c r="CH7" s="42">
        <v>2148368.3563000001</v>
      </c>
      <c r="CI7" s="42">
        <v>3393371.6716999998</v>
      </c>
      <c r="CJ7" s="51">
        <v>-1245003.3152999999</v>
      </c>
      <c r="CK7" s="42">
        <v>2190255.1957999999</v>
      </c>
      <c r="CL7" s="42">
        <v>3396722.6187999998</v>
      </c>
      <c r="CM7" s="51">
        <v>-1206467.423</v>
      </c>
      <c r="CN7" s="42">
        <v>2227217.0243150741</v>
      </c>
      <c r="CO7" s="42">
        <v>3399679.5651269834</v>
      </c>
      <c r="CP7" s="51">
        <v>-1172462.5408119094</v>
      </c>
      <c r="CQ7" s="42">
        <v>2263363.6489315182</v>
      </c>
      <c r="CR7" s="42">
        <v>3402571.2950935373</v>
      </c>
      <c r="CS7" s="51">
        <v>-1139207.6461620191</v>
      </c>
      <c r="CT7" s="42">
        <v>2300536.1606652737</v>
      </c>
      <c r="CU7" s="42">
        <v>3405545.0960328761</v>
      </c>
      <c r="CV7" s="51">
        <v>-1105008.9353676024</v>
      </c>
      <c r="CW7" s="64">
        <f t="shared" si="0"/>
        <v>53095359.089911871</v>
      </c>
      <c r="CX7" s="42">
        <f t="shared" si="1"/>
        <v>49089916.753696598</v>
      </c>
    </row>
    <row r="8" spans="1:102" x14ac:dyDescent="0.25">
      <c r="A8" t="s">
        <v>50</v>
      </c>
      <c r="B8">
        <v>2025</v>
      </c>
      <c r="C8">
        <v>1</v>
      </c>
      <c r="E8" s="42">
        <v>254166.15539999999</v>
      </c>
      <c r="F8" s="42">
        <v>2034664.0327999999</v>
      </c>
      <c r="G8" s="42">
        <v>-1780497.8773000001</v>
      </c>
      <c r="H8" s="51">
        <v>-1907580.9550999999</v>
      </c>
      <c r="I8" s="42">
        <v>267625.3015</v>
      </c>
      <c r="J8" s="42">
        <v>2035808.0601999999</v>
      </c>
      <c r="K8" s="42">
        <v>-1768182.7586999999</v>
      </c>
      <c r="L8" s="51">
        <v>-1901995.4094499999</v>
      </c>
      <c r="M8" s="42">
        <v>279271.72009999998</v>
      </c>
      <c r="N8" s="42">
        <v>2036798.0057999999</v>
      </c>
      <c r="O8" s="42">
        <v>-1757526.2856000001</v>
      </c>
      <c r="P8" s="51">
        <v>-1897162.1457499999</v>
      </c>
      <c r="Q8" s="42">
        <v>290699.89480000001</v>
      </c>
      <c r="R8" s="42">
        <v>2037769.4006000001</v>
      </c>
      <c r="S8" s="51">
        <v>-1747069.5057999999</v>
      </c>
      <c r="T8" s="42">
        <v>301368.36989999999</v>
      </c>
      <c r="U8" s="42">
        <v>2038676.2209999999</v>
      </c>
      <c r="V8" s="51">
        <v>-1737307.8511000001</v>
      </c>
      <c r="W8" s="42">
        <v>311699.92340000003</v>
      </c>
      <c r="X8" s="42">
        <v>2039554.4029999999</v>
      </c>
      <c r="Y8" s="51">
        <v>-1727854.4797</v>
      </c>
      <c r="Z8" s="42">
        <v>321915.21769999998</v>
      </c>
      <c r="AA8" s="42">
        <v>2040422.7031</v>
      </c>
      <c r="AB8" s="51">
        <v>-1718507.4853999999</v>
      </c>
      <c r="AC8" s="42">
        <v>331427.94130000001</v>
      </c>
      <c r="AD8" s="42">
        <v>2041231.2845999999</v>
      </c>
      <c r="AE8" s="51">
        <v>-1709803.3432</v>
      </c>
      <c r="AF8" s="42">
        <v>339933.08669999999</v>
      </c>
      <c r="AG8" s="42">
        <v>2041954.2219</v>
      </c>
      <c r="AH8" s="51">
        <v>-1702021.1351999999</v>
      </c>
      <c r="AI8" s="42">
        <v>349149.46380000003</v>
      </c>
      <c r="AJ8" s="42">
        <v>2042737.6140000001</v>
      </c>
      <c r="AK8" s="51">
        <v>-1693588.1501</v>
      </c>
      <c r="AL8" s="42">
        <v>358128.76370000001</v>
      </c>
      <c r="AM8" s="42">
        <v>2043500.8544999999</v>
      </c>
      <c r="AN8" s="51">
        <v>-1685372.0907999999</v>
      </c>
      <c r="AO8" s="42">
        <v>367201.98109999998</v>
      </c>
      <c r="AP8" s="42">
        <v>2044272.0778999999</v>
      </c>
      <c r="AQ8" s="51">
        <v>-1677070.0967999999</v>
      </c>
      <c r="AR8" s="42">
        <v>376210.91570000001</v>
      </c>
      <c r="AS8" s="42">
        <v>2045037.8374000001</v>
      </c>
      <c r="AT8" s="51">
        <v>-1668826.9217000001</v>
      </c>
      <c r="AU8" s="42">
        <v>385723.63929999998</v>
      </c>
      <c r="AV8" s="42">
        <v>2045846.4188999999</v>
      </c>
      <c r="AW8" s="51">
        <v>-1660122.7796</v>
      </c>
      <c r="AX8" s="42">
        <v>395414.17080000002</v>
      </c>
      <c r="AY8" s="42">
        <v>2046670.1140999999</v>
      </c>
      <c r="AZ8" s="51">
        <v>-1651255.9432000001</v>
      </c>
      <c r="BA8" s="42">
        <v>405045.43310000002</v>
      </c>
      <c r="BB8" s="42">
        <v>2047488.7714</v>
      </c>
      <c r="BC8" s="51">
        <v>-1642443.3382999999</v>
      </c>
      <c r="BD8" s="42">
        <v>414824.86859999999</v>
      </c>
      <c r="BE8" s="42">
        <v>2048320.0234000001</v>
      </c>
      <c r="BF8" s="51">
        <v>-1633495.1547999999</v>
      </c>
      <c r="BG8" s="42">
        <v>425202.01069999998</v>
      </c>
      <c r="BH8" s="42">
        <v>2049202.0804999999</v>
      </c>
      <c r="BI8" s="51">
        <v>-1624000.0697000001</v>
      </c>
      <c r="BJ8" s="42">
        <v>435248.1581</v>
      </c>
      <c r="BK8" s="42">
        <v>2050056.003</v>
      </c>
      <c r="BL8" s="51">
        <v>-1614807.8448999999</v>
      </c>
      <c r="BM8" s="42">
        <v>444997.95899999997</v>
      </c>
      <c r="BN8" s="42">
        <v>2050884.7361000001</v>
      </c>
      <c r="BO8" s="51">
        <v>-1605886.7771000001</v>
      </c>
      <c r="BP8" s="42">
        <v>455192.27960000001</v>
      </c>
      <c r="BQ8" s="42">
        <v>2051751.2533</v>
      </c>
      <c r="BR8" s="51">
        <v>-1596558.9737</v>
      </c>
      <c r="BS8" s="42">
        <v>464379.0221</v>
      </c>
      <c r="BT8" s="42">
        <v>2052532.1264</v>
      </c>
      <c r="BU8" s="51">
        <v>-1588153.1044000001</v>
      </c>
      <c r="BV8" s="42">
        <v>474028.97850000003</v>
      </c>
      <c r="BW8" s="42">
        <v>2053352.3726999999</v>
      </c>
      <c r="BX8" s="51">
        <v>-1579323.3942</v>
      </c>
      <c r="BY8" s="42">
        <v>483008.27840000001</v>
      </c>
      <c r="BZ8" s="42">
        <v>2054115.6132</v>
      </c>
      <c r="CA8" s="51">
        <v>-1571107.3348000001</v>
      </c>
      <c r="CB8" s="42">
        <v>491720.8664</v>
      </c>
      <c r="CC8" s="42">
        <v>2054856.1832000001</v>
      </c>
      <c r="CD8" s="51">
        <v>-1563135.3167999999</v>
      </c>
      <c r="CE8" s="42">
        <v>500522.35830000002</v>
      </c>
      <c r="CF8" s="42">
        <v>2055604.31</v>
      </c>
      <c r="CG8" s="51">
        <v>-1555081.9517000001</v>
      </c>
      <c r="CH8" s="42">
        <v>509501.65820000001</v>
      </c>
      <c r="CI8" s="42">
        <v>2056367.5504999999</v>
      </c>
      <c r="CJ8" s="51">
        <v>-1546865.8922999999</v>
      </c>
      <c r="CK8" s="42">
        <v>518629.13130000001</v>
      </c>
      <c r="CL8" s="42">
        <v>2057143.3857</v>
      </c>
      <c r="CM8" s="51">
        <v>-1538514.2544</v>
      </c>
      <c r="CN8" s="42">
        <v>530788.9723523818</v>
      </c>
      <c r="CO8" s="42">
        <v>2058176.9721944449</v>
      </c>
      <c r="CP8" s="51">
        <v>-1527387.9998420631</v>
      </c>
      <c r="CQ8" s="42">
        <v>539865.36527970433</v>
      </c>
      <c r="CR8" s="42">
        <v>2058948.4655936514</v>
      </c>
      <c r="CS8" s="51">
        <v>-1519083.1003139471</v>
      </c>
      <c r="CT8" s="42">
        <v>549111.15278432891</v>
      </c>
      <c r="CU8" s="42">
        <v>2059734.3575308842</v>
      </c>
      <c r="CV8" s="51">
        <v>-1510623.2047465553</v>
      </c>
      <c r="CW8" s="64">
        <f t="shared" si="0"/>
        <v>12572003.037916414</v>
      </c>
      <c r="CX8" s="42">
        <f t="shared" si="1"/>
        <v>11622360.296632085</v>
      </c>
    </row>
    <row r="9" spans="1:102" x14ac:dyDescent="0.25">
      <c r="A9" t="s">
        <v>53</v>
      </c>
      <c r="B9">
        <v>2025</v>
      </c>
      <c r="C9">
        <v>3</v>
      </c>
      <c r="E9" s="42">
        <v>324611.97110000002</v>
      </c>
      <c r="F9" s="42">
        <v>2627092.7963999999</v>
      </c>
      <c r="G9" s="42">
        <v>-2302480.8253000001</v>
      </c>
      <c r="H9" s="51">
        <v>-2464786.81085</v>
      </c>
      <c r="I9" s="42">
        <v>342126.05109999998</v>
      </c>
      <c r="J9" s="42">
        <v>2628581.4931999999</v>
      </c>
      <c r="K9" s="42">
        <v>-2286455.4421000001</v>
      </c>
      <c r="L9" s="51">
        <v>-2457518.46765</v>
      </c>
      <c r="M9" s="42">
        <v>357950.9558</v>
      </c>
      <c r="N9" s="42">
        <v>2629926.6101000002</v>
      </c>
      <c r="O9" s="42">
        <v>-2271975.6543000001</v>
      </c>
      <c r="P9" s="51">
        <v>-2450951.1322000003</v>
      </c>
      <c r="Q9" s="42">
        <v>373306.71970000002</v>
      </c>
      <c r="R9" s="42">
        <v>2631231.85</v>
      </c>
      <c r="S9" s="51">
        <v>-2257925.1304000001</v>
      </c>
      <c r="T9" s="42">
        <v>388124.04619999998</v>
      </c>
      <c r="U9" s="42">
        <v>2632491.3228000002</v>
      </c>
      <c r="V9" s="51">
        <v>-2244367.2766</v>
      </c>
      <c r="W9" s="42">
        <v>402882.10340000002</v>
      </c>
      <c r="X9" s="42">
        <v>2633745.7576000001</v>
      </c>
      <c r="Y9" s="51">
        <v>-2230863.6542000002</v>
      </c>
      <c r="Z9" s="42">
        <v>417106.73690000002</v>
      </c>
      <c r="AA9" s="42">
        <v>2634954.8514999999</v>
      </c>
      <c r="AB9" s="51">
        <v>-2217848.1146</v>
      </c>
      <c r="AC9" s="42">
        <v>430773.32549999998</v>
      </c>
      <c r="AD9" s="42">
        <v>2636116.5115</v>
      </c>
      <c r="AE9" s="51">
        <v>-2205343.1860000002</v>
      </c>
      <c r="AF9" s="42">
        <v>443871.84220000001</v>
      </c>
      <c r="AG9" s="42">
        <v>2637229.8854</v>
      </c>
      <c r="AH9" s="51">
        <v>-2193358.0433</v>
      </c>
      <c r="AI9" s="42">
        <v>457088.89740000002</v>
      </c>
      <c r="AJ9" s="42">
        <v>2638353.3350999998</v>
      </c>
      <c r="AK9" s="51">
        <v>-2181264.4377000001</v>
      </c>
      <c r="AL9" s="42">
        <v>470527.07579999999</v>
      </c>
      <c r="AM9" s="42">
        <v>2639495.5803</v>
      </c>
      <c r="AN9" s="51">
        <v>-2168968.5044999998</v>
      </c>
      <c r="AO9" s="42">
        <v>484490.011</v>
      </c>
      <c r="AP9" s="42">
        <v>2640682.4298</v>
      </c>
      <c r="AQ9" s="51">
        <v>-2156192.4188000001</v>
      </c>
      <c r="AR9" s="42">
        <v>498299.75929999998</v>
      </c>
      <c r="AS9" s="42">
        <v>2641856.2584000002</v>
      </c>
      <c r="AT9" s="51">
        <v>-2143556.4991000001</v>
      </c>
      <c r="AU9" s="42">
        <v>512613.29680000001</v>
      </c>
      <c r="AV9" s="42">
        <v>2643072.9090999998</v>
      </c>
      <c r="AW9" s="51">
        <v>-2130459.6123000002</v>
      </c>
      <c r="AX9" s="42">
        <v>527186.37620000006</v>
      </c>
      <c r="AY9" s="42">
        <v>2644311.6208000001</v>
      </c>
      <c r="AZ9" s="51">
        <v>-2117125.2445999999</v>
      </c>
      <c r="BA9" s="42">
        <v>542181.51060000004</v>
      </c>
      <c r="BB9" s="42">
        <v>2645586.2072999999</v>
      </c>
      <c r="BC9" s="51">
        <v>-2103404.6965999999</v>
      </c>
      <c r="BD9" s="42">
        <v>557502.6263</v>
      </c>
      <c r="BE9" s="42">
        <v>2646888.5021000002</v>
      </c>
      <c r="BF9" s="51">
        <v>-2089385.8758</v>
      </c>
      <c r="BG9" s="42">
        <v>573268.26170000003</v>
      </c>
      <c r="BH9" s="42">
        <v>2648228.5811000001</v>
      </c>
      <c r="BI9" s="51">
        <v>-2074960.3193999999</v>
      </c>
      <c r="BJ9" s="42">
        <v>588979.64139999996</v>
      </c>
      <c r="BK9" s="42">
        <v>2649564.0484000002</v>
      </c>
      <c r="BL9" s="51">
        <v>-2060584.4069999999</v>
      </c>
      <c r="BM9" s="42">
        <v>605071.25800000003</v>
      </c>
      <c r="BN9" s="42">
        <v>2650931.8358</v>
      </c>
      <c r="BO9" s="51">
        <v>-2045860.5778000001</v>
      </c>
      <c r="BP9" s="42">
        <v>621162.87459999998</v>
      </c>
      <c r="BQ9" s="42">
        <v>2652299.6231999998</v>
      </c>
      <c r="BR9" s="51">
        <v>-2031136.7486</v>
      </c>
      <c r="BS9" s="42">
        <v>637717.70519999997</v>
      </c>
      <c r="BT9" s="42">
        <v>2653706.7837999999</v>
      </c>
      <c r="BU9" s="51">
        <v>-2015989.0785999999</v>
      </c>
      <c r="BV9" s="42">
        <v>654046.39899999998</v>
      </c>
      <c r="BW9" s="42">
        <v>2655094.7228000001</v>
      </c>
      <c r="BX9" s="51">
        <v>-2001048.3237999999</v>
      </c>
      <c r="BY9" s="42">
        <v>670671.43940000003</v>
      </c>
      <c r="BZ9" s="42">
        <v>2656507.8511999999</v>
      </c>
      <c r="CA9" s="51">
        <v>-1985836.4117999999</v>
      </c>
      <c r="CB9" s="42">
        <v>687153.32010000001</v>
      </c>
      <c r="CC9" s="42">
        <v>2657908.8111</v>
      </c>
      <c r="CD9" s="51">
        <v>-1970755.4909999999</v>
      </c>
      <c r="CE9" s="42">
        <v>703807.99509999994</v>
      </c>
      <c r="CF9" s="42">
        <v>2659324.4583999999</v>
      </c>
      <c r="CG9" s="51">
        <v>-1955516.4634</v>
      </c>
      <c r="CH9" s="42">
        <v>720877.55519999994</v>
      </c>
      <c r="CI9" s="42">
        <v>2660775.3711000001</v>
      </c>
      <c r="CJ9" s="51">
        <v>-1939897.8158</v>
      </c>
      <c r="CK9" s="42">
        <v>738677.18030000001</v>
      </c>
      <c r="CL9" s="42">
        <v>2662288.3391999998</v>
      </c>
      <c r="CM9" s="51">
        <v>-1923611.1588999999</v>
      </c>
      <c r="CN9" s="42">
        <v>743634.25920873135</v>
      </c>
      <c r="CO9" s="42">
        <v>2662709.6909079365</v>
      </c>
      <c r="CP9" s="51">
        <v>-1919075.4316992052</v>
      </c>
      <c r="CQ9" s="42">
        <v>758709.33414093032</v>
      </c>
      <c r="CR9" s="42">
        <v>2663991.0722797052</v>
      </c>
      <c r="CS9" s="51">
        <v>-1905281.7381387749</v>
      </c>
      <c r="CT9" s="42">
        <v>774002.42384035885</v>
      </c>
      <c r="CU9" s="42">
        <v>2665290.9849069016</v>
      </c>
      <c r="CV9" s="51">
        <v>-1891288.5610665428</v>
      </c>
      <c r="CW9" s="64">
        <f t="shared" si="0"/>
        <v>17008422.952490017</v>
      </c>
      <c r="CX9" s="42">
        <f t="shared" si="1"/>
        <v>15722076.03964966</v>
      </c>
    </row>
    <row r="10" spans="1:102" x14ac:dyDescent="0.25">
      <c r="A10" t="s">
        <v>56</v>
      </c>
      <c r="B10">
        <v>2025</v>
      </c>
      <c r="C10">
        <v>3</v>
      </c>
      <c r="D10" t="s">
        <v>347</v>
      </c>
      <c r="E10" s="42">
        <v>715578.81319999998</v>
      </c>
      <c r="F10" s="42">
        <v>4329618.9031999996</v>
      </c>
      <c r="G10" s="42">
        <v>-3614040.09</v>
      </c>
      <c r="H10" s="51">
        <v>-3971829.4965999997</v>
      </c>
      <c r="I10" s="42">
        <v>757002.27040000004</v>
      </c>
      <c r="J10" s="42">
        <v>4333139.8969999999</v>
      </c>
      <c r="K10" s="42">
        <v>-3576137.6266999999</v>
      </c>
      <c r="L10" s="51">
        <v>-3954638.7618</v>
      </c>
      <c r="M10" s="42">
        <v>793304.72030000004</v>
      </c>
      <c r="N10" s="42">
        <v>4336225.6052999999</v>
      </c>
      <c r="O10" s="42">
        <v>-3542920.8849999998</v>
      </c>
      <c r="P10" s="51">
        <v>-3939573.2451499999</v>
      </c>
      <c r="Q10" s="42">
        <v>827720.58570000005</v>
      </c>
      <c r="R10" s="42">
        <v>4339150.9539000001</v>
      </c>
      <c r="S10" s="51">
        <v>-3511430.3681000001</v>
      </c>
      <c r="T10" s="42">
        <v>860370.80350000004</v>
      </c>
      <c r="U10" s="42">
        <v>4341926.2224000003</v>
      </c>
      <c r="V10" s="51">
        <v>-3481555.4188000001</v>
      </c>
      <c r="W10" s="42">
        <v>891813.17039999994</v>
      </c>
      <c r="X10" s="42">
        <v>4344598.8234999999</v>
      </c>
      <c r="Y10" s="51">
        <v>-3452785.6531000002</v>
      </c>
      <c r="Z10" s="42">
        <v>921512.10640000005</v>
      </c>
      <c r="AA10" s="42">
        <v>4347123.2330999998</v>
      </c>
      <c r="AB10" s="51">
        <v>-3425611.1266999999</v>
      </c>
      <c r="AC10" s="42">
        <v>949101.96829999995</v>
      </c>
      <c r="AD10" s="42">
        <v>4349468.3713999996</v>
      </c>
      <c r="AE10" s="51">
        <v>-3400366.4029999999</v>
      </c>
      <c r="AF10" s="42">
        <v>975406.59979999997</v>
      </c>
      <c r="AG10" s="42">
        <v>4351704.2649999997</v>
      </c>
      <c r="AH10" s="51">
        <v>-3376297.6653</v>
      </c>
      <c r="AI10" s="42">
        <v>1001514.7291</v>
      </c>
      <c r="AJ10" s="42">
        <v>4353923.4560000002</v>
      </c>
      <c r="AK10" s="51">
        <v>-3352408.7269000001</v>
      </c>
      <c r="AL10" s="42">
        <v>1027568.6027</v>
      </c>
      <c r="AM10" s="42">
        <v>4356138.0352999996</v>
      </c>
      <c r="AN10" s="51">
        <v>-3328569.4325999999</v>
      </c>
      <c r="AO10" s="42">
        <v>1054387.9637</v>
      </c>
      <c r="AP10" s="42">
        <v>4358417.6809999999</v>
      </c>
      <c r="AQ10" s="51">
        <v>-3304029.7171999998</v>
      </c>
      <c r="AR10" s="42">
        <v>1080945.6265</v>
      </c>
      <c r="AS10" s="42">
        <v>4360675.0822999999</v>
      </c>
      <c r="AT10" s="51">
        <v>-3279729.4558000001</v>
      </c>
      <c r="AU10" s="42">
        <v>1108031.6993</v>
      </c>
      <c r="AV10" s="42">
        <v>4362977.3985000001</v>
      </c>
      <c r="AW10" s="51">
        <v>-3254945.6992000001</v>
      </c>
      <c r="AX10" s="42">
        <v>1135284.6396999999</v>
      </c>
      <c r="AY10" s="42">
        <v>4365293.8984000003</v>
      </c>
      <c r="AZ10" s="51">
        <v>-3230009.2587000001</v>
      </c>
      <c r="BA10" s="42">
        <v>1163247.5686999999</v>
      </c>
      <c r="BB10" s="42">
        <v>4367670.7473999998</v>
      </c>
      <c r="BC10" s="51">
        <v>-3204423.1787</v>
      </c>
      <c r="BD10" s="42">
        <v>1192046.6636000001</v>
      </c>
      <c r="BE10" s="42">
        <v>4370118.6705</v>
      </c>
      <c r="BF10" s="51">
        <v>-3178072.0068000001</v>
      </c>
      <c r="BG10" s="42">
        <v>1221088.6236</v>
      </c>
      <c r="BH10" s="42">
        <v>4372587.2370999996</v>
      </c>
      <c r="BI10" s="51">
        <v>-3151498.6135</v>
      </c>
      <c r="BJ10" s="42">
        <v>1249691.0774000001</v>
      </c>
      <c r="BK10" s="42">
        <v>4375018.4456000002</v>
      </c>
      <c r="BL10" s="51">
        <v>-3125327.3681999999</v>
      </c>
      <c r="BM10" s="42">
        <v>1278717.0833000001</v>
      </c>
      <c r="BN10" s="42">
        <v>4377485.6561000003</v>
      </c>
      <c r="BO10" s="51">
        <v>-3098768.5728000002</v>
      </c>
      <c r="BP10" s="42">
        <v>1307645.5183000001</v>
      </c>
      <c r="BQ10" s="42">
        <v>4379944.5730999997</v>
      </c>
      <c r="BR10" s="51">
        <v>-3072299.0548</v>
      </c>
      <c r="BS10" s="42">
        <v>1335671.2390999999</v>
      </c>
      <c r="BT10" s="42">
        <v>4382326.7593999999</v>
      </c>
      <c r="BU10" s="51">
        <v>-3046655.5203</v>
      </c>
      <c r="BV10" s="42">
        <v>1362554.8829999999</v>
      </c>
      <c r="BW10" s="42">
        <v>4384611.8690999998</v>
      </c>
      <c r="BX10" s="51">
        <v>-3022056.9860999999</v>
      </c>
      <c r="BY10" s="42">
        <v>1389374.2439999999</v>
      </c>
      <c r="BZ10" s="42">
        <v>4386891.5148</v>
      </c>
      <c r="CA10" s="51">
        <v>-2997517.2708000001</v>
      </c>
      <c r="CB10" s="42">
        <v>1415368.8483</v>
      </c>
      <c r="CC10" s="42">
        <v>4389101.0562000005</v>
      </c>
      <c r="CD10" s="51">
        <v>-2973732.2078</v>
      </c>
      <c r="CE10" s="42">
        <v>1441490.6583</v>
      </c>
      <c r="CF10" s="42">
        <v>4391321.41</v>
      </c>
      <c r="CG10" s="51">
        <v>-2949830.7516999999</v>
      </c>
      <c r="CH10" s="42">
        <v>1468125.0415000001</v>
      </c>
      <c r="CI10" s="42">
        <v>4393585.3326000003</v>
      </c>
      <c r="CJ10" s="51">
        <v>-2925460.2911</v>
      </c>
      <c r="CK10" s="42">
        <v>1495151.8451</v>
      </c>
      <c r="CL10" s="42">
        <v>4395882.6108999997</v>
      </c>
      <c r="CM10" s="51">
        <v>-2900730.7658000002</v>
      </c>
      <c r="CN10" s="42">
        <v>1530425.0478428528</v>
      </c>
      <c r="CO10" s="42">
        <v>4398880.8331246041</v>
      </c>
      <c r="CP10" s="51">
        <v>-2868455.7852817513</v>
      </c>
      <c r="CQ10" s="42">
        <v>1556486.3287950158</v>
      </c>
      <c r="CR10" s="42">
        <v>4401096.0420066901</v>
      </c>
      <c r="CS10" s="51">
        <v>-2844609.7132116742</v>
      </c>
      <c r="CT10" s="42">
        <v>1583091.1922431663</v>
      </c>
      <c r="CU10" s="42">
        <v>4403357.4553963393</v>
      </c>
      <c r="CV10" s="51">
        <v>-2820266.263153173</v>
      </c>
      <c r="CW10" s="64">
        <f t="shared" si="0"/>
        <v>36089720.162081033</v>
      </c>
      <c r="CX10" s="42">
        <f t="shared" si="1"/>
        <v>33373686.067887865</v>
      </c>
    </row>
    <row r="11" spans="1:102" x14ac:dyDescent="0.25">
      <c r="A11" t="s">
        <v>91</v>
      </c>
      <c r="B11">
        <v>2025</v>
      </c>
      <c r="C11">
        <v>0</v>
      </c>
      <c r="E11" s="42">
        <v>78948.868199999997</v>
      </c>
      <c r="F11" s="42">
        <v>1122254.3543</v>
      </c>
      <c r="G11" s="42">
        <v>-1043305.4861</v>
      </c>
      <c r="H11" s="51">
        <v>-1082779.9202000001</v>
      </c>
      <c r="I11" s="42">
        <v>79033.839699999997</v>
      </c>
      <c r="J11" s="42">
        <v>1122262.0016999999</v>
      </c>
      <c r="K11" s="42">
        <v>-1043228.162</v>
      </c>
      <c r="L11" s="51">
        <v>-1082745.08185</v>
      </c>
      <c r="M11" s="42">
        <v>79090.487399999998</v>
      </c>
      <c r="N11" s="42">
        <v>1122267.1000000001</v>
      </c>
      <c r="O11" s="42">
        <v>-1043176.6126</v>
      </c>
      <c r="P11" s="51">
        <v>-1082721.8563000001</v>
      </c>
      <c r="Q11" s="42">
        <v>79175.458899999998</v>
      </c>
      <c r="R11" s="42">
        <v>1122274.7475000001</v>
      </c>
      <c r="S11" s="51">
        <v>-1043099.2886</v>
      </c>
      <c r="T11" s="42">
        <v>79260.430399999997</v>
      </c>
      <c r="U11" s="42">
        <v>1122282.3949</v>
      </c>
      <c r="V11" s="51">
        <v>-1043021.9645</v>
      </c>
      <c r="W11" s="42">
        <v>79345.401899999997</v>
      </c>
      <c r="X11" s="42">
        <v>1122290.0423000001</v>
      </c>
      <c r="Y11" s="51">
        <v>-1042944.6404</v>
      </c>
      <c r="Z11" s="42">
        <v>79402.049599999998</v>
      </c>
      <c r="AA11" s="42">
        <v>1122295.1406</v>
      </c>
      <c r="AB11" s="51">
        <v>-1042893.091</v>
      </c>
      <c r="AC11" s="42">
        <v>79487.021099999998</v>
      </c>
      <c r="AD11" s="42">
        <v>1122302.7881</v>
      </c>
      <c r="AE11" s="51">
        <v>-1042815.7669</v>
      </c>
      <c r="AF11" s="42">
        <v>79571.992599999998</v>
      </c>
      <c r="AG11" s="42">
        <v>1122310.4354999999</v>
      </c>
      <c r="AH11" s="51">
        <v>-1042738.4429</v>
      </c>
      <c r="AI11" s="42">
        <v>79656.964099999997</v>
      </c>
      <c r="AJ11" s="42">
        <v>1122318.0829</v>
      </c>
      <c r="AK11" s="51">
        <v>-1042661.1188000001</v>
      </c>
      <c r="AL11" s="42">
        <v>79741.935700000002</v>
      </c>
      <c r="AM11" s="42">
        <v>1122325.7304</v>
      </c>
      <c r="AN11" s="51">
        <v>-1042583.7947</v>
      </c>
      <c r="AO11" s="42">
        <v>79798.583299999998</v>
      </c>
      <c r="AP11" s="42">
        <v>1122330.8287</v>
      </c>
      <c r="AQ11" s="51">
        <v>-1042532.2453</v>
      </c>
      <c r="AR11" s="42">
        <v>79883.554799999998</v>
      </c>
      <c r="AS11" s="42">
        <v>1122338.4761000001</v>
      </c>
      <c r="AT11" s="51">
        <v>-1042454.9213</v>
      </c>
      <c r="AU11" s="42">
        <v>79968.526400000002</v>
      </c>
      <c r="AV11" s="42">
        <v>1122346.1235</v>
      </c>
      <c r="AW11" s="51">
        <v>-1042377.5972</v>
      </c>
      <c r="AX11" s="42">
        <v>80053.497900000002</v>
      </c>
      <c r="AY11" s="42">
        <v>1122353.7709999999</v>
      </c>
      <c r="AZ11" s="51">
        <v>-1042300.2731</v>
      </c>
      <c r="BA11" s="42">
        <v>80138.469400000002</v>
      </c>
      <c r="BB11" s="42">
        <v>1122361.4184000001</v>
      </c>
      <c r="BC11" s="51">
        <v>-1042222.949</v>
      </c>
      <c r="BD11" s="42">
        <v>80223.440900000001</v>
      </c>
      <c r="BE11" s="42">
        <v>1122369.0658</v>
      </c>
      <c r="BF11" s="51">
        <v>-1042145.6249000001</v>
      </c>
      <c r="BG11" s="42">
        <v>80308.412400000001</v>
      </c>
      <c r="BH11" s="42">
        <v>1122376.7132999999</v>
      </c>
      <c r="BI11" s="51">
        <v>-1042068.3009</v>
      </c>
      <c r="BJ11" s="42">
        <v>80393.383900000001</v>
      </c>
      <c r="BK11" s="42">
        <v>1122384.3607000001</v>
      </c>
      <c r="BL11" s="51">
        <v>-1041990.9767999999</v>
      </c>
      <c r="BM11" s="42">
        <v>80478.3554</v>
      </c>
      <c r="BN11" s="42">
        <v>1122392.0081</v>
      </c>
      <c r="BO11" s="51">
        <v>-1041913.6527</v>
      </c>
      <c r="BP11" s="42">
        <v>80563.3269</v>
      </c>
      <c r="BQ11" s="42">
        <v>1122399.6555999999</v>
      </c>
      <c r="BR11" s="51">
        <v>-1041836.3286</v>
      </c>
      <c r="BS11" s="42">
        <v>80648.298500000004</v>
      </c>
      <c r="BT11" s="42">
        <v>1122407.3030000001</v>
      </c>
      <c r="BU11" s="51">
        <v>-1041759.0046</v>
      </c>
      <c r="BV11" s="42">
        <v>80733.27</v>
      </c>
      <c r="BW11" s="42">
        <v>1122414.9505</v>
      </c>
      <c r="BX11" s="51">
        <v>-1041681.6805</v>
      </c>
      <c r="BY11" s="42">
        <v>80818.241500000004</v>
      </c>
      <c r="BZ11" s="42">
        <v>1122422.5978999999</v>
      </c>
      <c r="CA11" s="51">
        <v>-1041604.3564</v>
      </c>
      <c r="CB11" s="42">
        <v>80903.213000000003</v>
      </c>
      <c r="CC11" s="42">
        <v>1122430.2453000001</v>
      </c>
      <c r="CD11" s="51">
        <v>-1041527.0323</v>
      </c>
      <c r="CE11" s="42">
        <v>80988.184500000003</v>
      </c>
      <c r="CF11" s="42">
        <v>1122437.8928</v>
      </c>
      <c r="CG11" s="51">
        <v>-1041449.7083000001</v>
      </c>
      <c r="CH11" s="42">
        <v>81073.156000000003</v>
      </c>
      <c r="CI11" s="42">
        <v>1122445.5401999999</v>
      </c>
      <c r="CJ11" s="51">
        <v>-1041372.3842</v>
      </c>
      <c r="CK11" s="42">
        <v>81174.609200000006</v>
      </c>
      <c r="CL11" s="42">
        <v>1122454.6710000001</v>
      </c>
      <c r="CM11" s="51">
        <v>-1041280.0618</v>
      </c>
      <c r="CN11" s="42">
        <v>81222.974337301581</v>
      </c>
      <c r="CO11" s="42">
        <v>1122459.0238547619</v>
      </c>
      <c r="CP11" s="51">
        <v>-1041236.0495174603</v>
      </c>
      <c r="CQ11" s="42">
        <v>81307.412801360551</v>
      </c>
      <c r="CR11" s="42">
        <v>1122466.6233173469</v>
      </c>
      <c r="CS11" s="51">
        <v>-1041159.2105159863</v>
      </c>
      <c r="CT11" s="42">
        <v>81392.609211576317</v>
      </c>
      <c r="CU11" s="42">
        <v>1122474.2909924062</v>
      </c>
      <c r="CV11" s="51">
        <v>-1041081.6817808299</v>
      </c>
      <c r="CW11" s="64">
        <f t="shared" si="0"/>
        <v>2484785.9699502387</v>
      </c>
      <c r="CX11" s="42">
        <f t="shared" si="1"/>
        <v>2284856.7630886626</v>
      </c>
    </row>
    <row r="12" spans="1:102" x14ac:dyDescent="0.25">
      <c r="A12" t="s">
        <v>154</v>
      </c>
      <c r="B12">
        <v>2025</v>
      </c>
      <c r="C12">
        <v>0</v>
      </c>
      <c r="E12" s="42">
        <v>78948.868199999997</v>
      </c>
      <c r="F12" s="42">
        <v>1331907.3647</v>
      </c>
      <c r="G12" s="42">
        <v>-1252958.4964999999</v>
      </c>
      <c r="H12" s="51">
        <v>-1292432.9306000001</v>
      </c>
      <c r="I12" s="42">
        <v>79118.811199999996</v>
      </c>
      <c r="J12" s="42">
        <v>1331922.6595999999</v>
      </c>
      <c r="K12" s="42">
        <v>-1252803.8483</v>
      </c>
      <c r="L12" s="51">
        <v>-1292363.254</v>
      </c>
      <c r="M12" s="42">
        <v>79317.078099999999</v>
      </c>
      <c r="N12" s="42">
        <v>1331940.5035999999</v>
      </c>
      <c r="O12" s="42">
        <v>-1252623.4254999999</v>
      </c>
      <c r="P12" s="51">
        <v>-1292281.9645499999</v>
      </c>
      <c r="Q12" s="42">
        <v>79515.345000000001</v>
      </c>
      <c r="R12" s="42">
        <v>1331958.3476</v>
      </c>
      <c r="S12" s="51">
        <v>-1252443.0027000001</v>
      </c>
      <c r="T12" s="42">
        <v>79685.288</v>
      </c>
      <c r="U12" s="42">
        <v>1331973.6425000001</v>
      </c>
      <c r="V12" s="51">
        <v>-1252288.3544999999</v>
      </c>
      <c r="W12" s="42">
        <v>79883.554799999998</v>
      </c>
      <c r="X12" s="42">
        <v>1331991.4865000001</v>
      </c>
      <c r="Y12" s="51">
        <v>-1252107.9317000001</v>
      </c>
      <c r="Z12" s="42">
        <v>80081.8217</v>
      </c>
      <c r="AA12" s="42">
        <v>1332009.3304999999</v>
      </c>
      <c r="AB12" s="51">
        <v>-1251927.5088</v>
      </c>
      <c r="AC12" s="42">
        <v>80280.088600000003</v>
      </c>
      <c r="AD12" s="42">
        <v>1332027.1745</v>
      </c>
      <c r="AE12" s="51">
        <v>-1251747.0859999999</v>
      </c>
      <c r="AF12" s="42">
        <v>80478.3554</v>
      </c>
      <c r="AG12" s="42">
        <v>1332045.0186000001</v>
      </c>
      <c r="AH12" s="51">
        <v>-1251566.6631</v>
      </c>
      <c r="AI12" s="42">
        <v>80676.622300000003</v>
      </c>
      <c r="AJ12" s="42">
        <v>1332062.8626000001</v>
      </c>
      <c r="AK12" s="51">
        <v>-1251386.2402999999</v>
      </c>
      <c r="AL12" s="42">
        <v>80874.889200000005</v>
      </c>
      <c r="AM12" s="42">
        <v>1332080.7065999999</v>
      </c>
      <c r="AN12" s="51">
        <v>-1251205.8174000001</v>
      </c>
      <c r="AO12" s="42">
        <v>81101.479900000006</v>
      </c>
      <c r="AP12" s="42">
        <v>1332101.0998</v>
      </c>
      <c r="AQ12" s="51">
        <v>-1250999.6199</v>
      </c>
      <c r="AR12" s="42">
        <v>81316.228400000007</v>
      </c>
      <c r="AS12" s="42">
        <v>1332120.4271</v>
      </c>
      <c r="AT12" s="51">
        <v>-1250804.1987000001</v>
      </c>
      <c r="AU12" s="42">
        <v>81542.819099999993</v>
      </c>
      <c r="AV12" s="42">
        <v>1332140.8203</v>
      </c>
      <c r="AW12" s="51">
        <v>-1250598.0012000001</v>
      </c>
      <c r="AX12" s="42">
        <v>81741.085999999996</v>
      </c>
      <c r="AY12" s="42">
        <v>1332158.6643000001</v>
      </c>
      <c r="AZ12" s="51">
        <v>-1250417.5782999999</v>
      </c>
      <c r="BA12" s="42">
        <v>81967.676699999996</v>
      </c>
      <c r="BB12" s="42">
        <v>1332179.0575000001</v>
      </c>
      <c r="BC12" s="51">
        <v>-1250211.3807999999</v>
      </c>
      <c r="BD12" s="42">
        <v>82194.267399999997</v>
      </c>
      <c r="BE12" s="42">
        <v>1332199.4506000001</v>
      </c>
      <c r="BF12" s="51">
        <v>-1250005.1832999999</v>
      </c>
      <c r="BG12" s="42">
        <v>82420.858099999998</v>
      </c>
      <c r="BH12" s="42">
        <v>1332219.8437999999</v>
      </c>
      <c r="BI12" s="51">
        <v>-1249798.9857000001</v>
      </c>
      <c r="BJ12" s="42">
        <v>82647.448799999998</v>
      </c>
      <c r="BK12" s="42">
        <v>1332240.237</v>
      </c>
      <c r="BL12" s="51">
        <v>-1249592.7882000001</v>
      </c>
      <c r="BM12" s="42">
        <v>82874.039499999999</v>
      </c>
      <c r="BN12" s="42">
        <v>1332260.6301</v>
      </c>
      <c r="BO12" s="51">
        <v>-1249386.5907000001</v>
      </c>
      <c r="BP12" s="42">
        <v>83100.6302</v>
      </c>
      <c r="BQ12" s="42">
        <v>1332281.0233</v>
      </c>
      <c r="BR12" s="51">
        <v>-1249180.3931</v>
      </c>
      <c r="BS12" s="42">
        <v>83355.544699999999</v>
      </c>
      <c r="BT12" s="42">
        <v>1332303.9656</v>
      </c>
      <c r="BU12" s="51">
        <v>-1248948.4209</v>
      </c>
      <c r="BV12" s="42">
        <v>83582.135399999999</v>
      </c>
      <c r="BW12" s="42">
        <v>1332324.3588</v>
      </c>
      <c r="BX12" s="51">
        <v>-1248742.2234</v>
      </c>
      <c r="BY12" s="42">
        <v>83837.049899999998</v>
      </c>
      <c r="BZ12" s="42">
        <v>1332347.3011</v>
      </c>
      <c r="CA12" s="51">
        <v>-1248510.2511</v>
      </c>
      <c r="CB12" s="42">
        <v>84063.640599999999</v>
      </c>
      <c r="CC12" s="42">
        <v>1332367.6942</v>
      </c>
      <c r="CD12" s="51">
        <v>-1248304.0536</v>
      </c>
      <c r="CE12" s="42">
        <v>84318.555200000003</v>
      </c>
      <c r="CF12" s="42">
        <v>1332390.6365</v>
      </c>
      <c r="CG12" s="51">
        <v>-1248072.0814</v>
      </c>
      <c r="CH12" s="42">
        <v>84573.469700000001</v>
      </c>
      <c r="CI12" s="42">
        <v>1332413.5788</v>
      </c>
      <c r="CJ12" s="51">
        <v>-1247840.1091</v>
      </c>
      <c r="CK12" s="42">
        <v>84828.3842</v>
      </c>
      <c r="CL12" s="42">
        <v>1332436.5212000001</v>
      </c>
      <c r="CM12" s="51">
        <v>-1247608.1369</v>
      </c>
      <c r="CN12" s="42">
        <v>84883.557259523834</v>
      </c>
      <c r="CO12" s="42">
        <v>1332441.4867285716</v>
      </c>
      <c r="CP12" s="51">
        <v>-1247557.9294690478</v>
      </c>
      <c r="CQ12" s="42">
        <v>85114.245167233574</v>
      </c>
      <c r="CR12" s="42">
        <v>1332462.2486397962</v>
      </c>
      <c r="CS12" s="51">
        <v>-1247348.0034725626</v>
      </c>
      <c r="CT12" s="42">
        <v>85344.275323191367</v>
      </c>
      <c r="CU12" s="42">
        <v>1332482.9513555721</v>
      </c>
      <c r="CV12" s="51">
        <v>-1247138.6760323807</v>
      </c>
      <c r="CW12" s="64">
        <f t="shared" si="0"/>
        <v>2543668.1140499483</v>
      </c>
      <c r="CX12" s="42">
        <f t="shared" si="1"/>
        <v>2339631.4599767574</v>
      </c>
    </row>
    <row r="13" spans="1:102" x14ac:dyDescent="0.25">
      <c r="A13" t="s">
        <v>63</v>
      </c>
      <c r="B13">
        <v>2025</v>
      </c>
      <c r="C13">
        <v>3</v>
      </c>
      <c r="E13" s="42">
        <v>1026509.9381</v>
      </c>
      <c r="F13" s="42">
        <v>1679346.8485000001</v>
      </c>
      <c r="G13" s="42">
        <v>-652836.91040000005</v>
      </c>
      <c r="H13" s="51">
        <v>-1166091.8794500001</v>
      </c>
      <c r="I13" s="42">
        <v>1058801.1893</v>
      </c>
      <c r="J13" s="42">
        <v>1682253.0611</v>
      </c>
      <c r="K13" s="42">
        <v>-623451.87179999996</v>
      </c>
      <c r="L13" s="51">
        <v>-1152852.4664500002</v>
      </c>
      <c r="M13" s="42">
        <v>1083015.5072000001</v>
      </c>
      <c r="N13" s="42">
        <v>1684432.3496999999</v>
      </c>
      <c r="O13" s="42">
        <v>-601416.84250000003</v>
      </c>
      <c r="P13" s="51">
        <v>-1142924.5960999997</v>
      </c>
      <c r="Q13" s="42">
        <v>1107229.8252000001</v>
      </c>
      <c r="R13" s="42">
        <v>1686611.6383</v>
      </c>
      <c r="S13" s="51">
        <v>-579381.81310000003</v>
      </c>
      <c r="T13" s="42">
        <v>1131444.1431</v>
      </c>
      <c r="U13" s="42">
        <v>1688790.9269000001</v>
      </c>
      <c r="V13" s="51">
        <v>-557346.78379999998</v>
      </c>
      <c r="W13" s="42">
        <v>1155674.9427</v>
      </c>
      <c r="X13" s="42">
        <v>1690971.6989</v>
      </c>
      <c r="Y13" s="51">
        <v>-535296.75619999995</v>
      </c>
      <c r="Z13" s="42">
        <v>1179889.2607</v>
      </c>
      <c r="AA13" s="42">
        <v>1693150.9875</v>
      </c>
      <c r="AB13" s="51">
        <v>-513261.7268</v>
      </c>
      <c r="AC13" s="42">
        <v>1204103.5785999999</v>
      </c>
      <c r="AD13" s="42">
        <v>1695330.2760999999</v>
      </c>
      <c r="AE13" s="51">
        <v>-491226.69750000001</v>
      </c>
      <c r="AF13" s="42">
        <v>1228317.8966000001</v>
      </c>
      <c r="AG13" s="42">
        <v>1697509.5647</v>
      </c>
      <c r="AH13" s="51">
        <v>-469191.66820000001</v>
      </c>
      <c r="AI13" s="42">
        <v>1252532.2145</v>
      </c>
      <c r="AJ13" s="42">
        <v>1699688.8533000001</v>
      </c>
      <c r="AK13" s="51">
        <v>-447156.63880000002</v>
      </c>
      <c r="AL13" s="42">
        <v>1276746.5323999999</v>
      </c>
      <c r="AM13" s="42">
        <v>1701868.142</v>
      </c>
      <c r="AN13" s="51">
        <v>-425121.60950000002</v>
      </c>
      <c r="AO13" s="42">
        <v>1300977.3321</v>
      </c>
      <c r="AP13" s="42">
        <v>1704048.9139</v>
      </c>
      <c r="AQ13" s="51">
        <v>-403071.58179999999</v>
      </c>
      <c r="AR13" s="42">
        <v>1325191.6499999999</v>
      </c>
      <c r="AS13" s="42">
        <v>1706228.2024999999</v>
      </c>
      <c r="AT13" s="51">
        <v>-381036.55249999999</v>
      </c>
      <c r="AU13" s="42">
        <v>1349405.9680000001</v>
      </c>
      <c r="AV13" s="42">
        <v>1708407.4911</v>
      </c>
      <c r="AW13" s="51">
        <v>-359001.5232</v>
      </c>
      <c r="AX13" s="42">
        <v>1373620.2859</v>
      </c>
      <c r="AY13" s="42">
        <v>1710586.7797999999</v>
      </c>
      <c r="AZ13" s="51">
        <v>-336966.4939</v>
      </c>
      <c r="BA13" s="42">
        <v>1397834.6039</v>
      </c>
      <c r="BB13" s="42">
        <v>1712766.0684</v>
      </c>
      <c r="BC13" s="51">
        <v>-314931.4645</v>
      </c>
      <c r="BD13" s="42">
        <v>1422048.9217999999</v>
      </c>
      <c r="BE13" s="42">
        <v>1714945.3570000001</v>
      </c>
      <c r="BF13" s="51">
        <v>-292896.43520000001</v>
      </c>
      <c r="BG13" s="42">
        <v>1446279.7213999999</v>
      </c>
      <c r="BH13" s="42">
        <v>1717126.129</v>
      </c>
      <c r="BI13" s="51">
        <v>-270846.40749999997</v>
      </c>
      <c r="BJ13" s="42">
        <v>1470494.0393999999</v>
      </c>
      <c r="BK13" s="42">
        <v>1719305.4176</v>
      </c>
      <c r="BL13" s="51">
        <v>-248811.37820000001</v>
      </c>
      <c r="BM13" s="42">
        <v>1494708.3573</v>
      </c>
      <c r="BN13" s="42">
        <v>1721484.7061999999</v>
      </c>
      <c r="BO13" s="51">
        <v>-226776.34890000001</v>
      </c>
      <c r="BP13" s="42">
        <v>1518922.6753</v>
      </c>
      <c r="BQ13" s="42">
        <v>1723663.9948</v>
      </c>
      <c r="BR13" s="51">
        <v>-204741.31950000001</v>
      </c>
      <c r="BS13" s="42">
        <v>1543136.9931999999</v>
      </c>
      <c r="BT13" s="42">
        <v>1725843.2834000001</v>
      </c>
      <c r="BU13" s="51">
        <v>-182706.29019999999</v>
      </c>
      <c r="BV13" s="42">
        <v>1567351.3112000001</v>
      </c>
      <c r="BW13" s="42">
        <v>1728022.5719999999</v>
      </c>
      <c r="BX13" s="51">
        <v>-160671.26089999999</v>
      </c>
      <c r="BY13" s="42">
        <v>1591582.1107999999</v>
      </c>
      <c r="BZ13" s="42">
        <v>1730203.344</v>
      </c>
      <c r="CA13" s="51">
        <v>-138621.23319999999</v>
      </c>
      <c r="CB13" s="42">
        <v>1615796.4287</v>
      </c>
      <c r="CC13" s="42">
        <v>1732382.6325999999</v>
      </c>
      <c r="CD13" s="51">
        <v>-116586.20389999999</v>
      </c>
      <c r="CE13" s="42">
        <v>1640010.7467</v>
      </c>
      <c r="CF13" s="42">
        <v>1734561.9212</v>
      </c>
      <c r="CG13" s="51">
        <v>-94551.174599999998</v>
      </c>
      <c r="CH13" s="42">
        <v>1664225.0645999999</v>
      </c>
      <c r="CI13" s="42">
        <v>1736741.2098000001</v>
      </c>
      <c r="CJ13" s="51">
        <v>-72516.145199999999</v>
      </c>
      <c r="CK13" s="42">
        <v>1688439.3825999999</v>
      </c>
      <c r="CL13" s="42">
        <v>1738920.4985</v>
      </c>
      <c r="CM13" s="51">
        <v>-50481.115899999997</v>
      </c>
      <c r="CN13" s="42">
        <v>1713237.1646666676</v>
      </c>
      <c r="CO13" s="42">
        <v>1741152.2988365078</v>
      </c>
      <c r="CP13" s="51">
        <v>-27915.134169840254</v>
      </c>
      <c r="CQ13" s="42">
        <v>1736960.003743656</v>
      </c>
      <c r="CR13" s="42">
        <v>1743287.3543544211</v>
      </c>
      <c r="CS13" s="51">
        <v>-6327.3506107651629</v>
      </c>
      <c r="CT13" s="42">
        <v>1761184.4014620632</v>
      </c>
      <c r="CU13" s="42">
        <v>1745467.5501500014</v>
      </c>
      <c r="CV13" s="51">
        <v>15716.851312061772</v>
      </c>
      <c r="CW13" s="64">
        <f t="shared" si="0"/>
        <v>43325672.191172384</v>
      </c>
      <c r="CX13" s="42">
        <f t="shared" si="1"/>
        <v>39980324.472410329</v>
      </c>
    </row>
    <row r="14" spans="1:102" x14ac:dyDescent="0.25">
      <c r="A14" t="s">
        <v>157</v>
      </c>
      <c r="B14">
        <v>2025</v>
      </c>
      <c r="C14">
        <v>0</v>
      </c>
      <c r="E14" s="42">
        <v>78948.868199999997</v>
      </c>
      <c r="F14" s="42">
        <v>1331907.3647</v>
      </c>
      <c r="G14" s="42">
        <v>-1252958.4964999999</v>
      </c>
      <c r="H14" s="51">
        <v>-1292432.9306000001</v>
      </c>
      <c r="I14" s="42">
        <v>79090.487399999998</v>
      </c>
      <c r="J14" s="42">
        <v>1331920.1103999999</v>
      </c>
      <c r="K14" s="42">
        <v>-1252829.6229999999</v>
      </c>
      <c r="L14" s="51">
        <v>-1292374.8666999999</v>
      </c>
      <c r="M14" s="42">
        <v>79260.430399999997</v>
      </c>
      <c r="N14" s="42">
        <v>1331935.4053</v>
      </c>
      <c r="O14" s="42">
        <v>-1252674.9749</v>
      </c>
      <c r="P14" s="51">
        <v>-1292305.1901</v>
      </c>
      <c r="Q14" s="42">
        <v>79402.049599999998</v>
      </c>
      <c r="R14" s="42">
        <v>1331948.1510000001</v>
      </c>
      <c r="S14" s="51">
        <v>-1252546.1014</v>
      </c>
      <c r="T14" s="42">
        <v>79571.992599999998</v>
      </c>
      <c r="U14" s="42">
        <v>1331963.4458999999</v>
      </c>
      <c r="V14" s="51">
        <v>-1252391.4532999999</v>
      </c>
      <c r="W14" s="42">
        <v>79741.935700000002</v>
      </c>
      <c r="X14" s="42">
        <v>1331978.7408</v>
      </c>
      <c r="Y14" s="51">
        <v>-1252236.8051</v>
      </c>
      <c r="Z14" s="42">
        <v>79883.554799999998</v>
      </c>
      <c r="AA14" s="42">
        <v>1331991.4865000001</v>
      </c>
      <c r="AB14" s="51">
        <v>-1252107.9317000001</v>
      </c>
      <c r="AC14" s="42">
        <v>80053.497900000002</v>
      </c>
      <c r="AD14" s="42">
        <v>1332006.7814</v>
      </c>
      <c r="AE14" s="51">
        <v>-1251953.2834999999</v>
      </c>
      <c r="AF14" s="42">
        <v>80223.440900000001</v>
      </c>
      <c r="AG14" s="42">
        <v>1332022.0762</v>
      </c>
      <c r="AH14" s="51">
        <v>-1251798.6354</v>
      </c>
      <c r="AI14" s="42">
        <v>80393.383900000001</v>
      </c>
      <c r="AJ14" s="42">
        <v>1332037.3711000001</v>
      </c>
      <c r="AK14" s="51">
        <v>-1251643.9872000001</v>
      </c>
      <c r="AL14" s="42">
        <v>80563.3269</v>
      </c>
      <c r="AM14" s="42">
        <v>1332052.666</v>
      </c>
      <c r="AN14" s="51">
        <v>-1251489.3391</v>
      </c>
      <c r="AO14" s="42">
        <v>80733.27</v>
      </c>
      <c r="AP14" s="42">
        <v>1332067.9609000001</v>
      </c>
      <c r="AQ14" s="51">
        <v>-1251334.6909</v>
      </c>
      <c r="AR14" s="42">
        <v>80903.213000000003</v>
      </c>
      <c r="AS14" s="42">
        <v>1332083.2557000001</v>
      </c>
      <c r="AT14" s="51">
        <v>-1251180.0427000001</v>
      </c>
      <c r="AU14" s="42">
        <v>81073.156000000003</v>
      </c>
      <c r="AV14" s="42">
        <v>1332098.5506</v>
      </c>
      <c r="AW14" s="51">
        <v>-1251025.3946</v>
      </c>
      <c r="AX14" s="42">
        <v>81259.580700000006</v>
      </c>
      <c r="AY14" s="42">
        <v>1332115.3288</v>
      </c>
      <c r="AZ14" s="51">
        <v>-1250855.7481</v>
      </c>
      <c r="BA14" s="42">
        <v>81457.847599999994</v>
      </c>
      <c r="BB14" s="42">
        <v>1332133.1728999999</v>
      </c>
      <c r="BC14" s="51">
        <v>-1250675.3252999999</v>
      </c>
      <c r="BD14" s="42">
        <v>81627.790599999993</v>
      </c>
      <c r="BE14" s="42">
        <v>1332148.4676999999</v>
      </c>
      <c r="BF14" s="51">
        <v>-1250520.6771</v>
      </c>
      <c r="BG14" s="42">
        <v>81826.057499999995</v>
      </c>
      <c r="BH14" s="42">
        <v>1332166.3117</v>
      </c>
      <c r="BI14" s="51">
        <v>-1250340.2542999999</v>
      </c>
      <c r="BJ14" s="42">
        <v>81996.000499999995</v>
      </c>
      <c r="BK14" s="42">
        <v>1332181.6066000001</v>
      </c>
      <c r="BL14" s="51">
        <v>-1250185.6061</v>
      </c>
      <c r="BM14" s="42">
        <v>82194.267399999997</v>
      </c>
      <c r="BN14" s="42">
        <v>1332199.4506000001</v>
      </c>
      <c r="BO14" s="51">
        <v>-1250005.1832999999</v>
      </c>
      <c r="BP14" s="42">
        <v>82364.210399999996</v>
      </c>
      <c r="BQ14" s="42">
        <v>1332214.7455</v>
      </c>
      <c r="BR14" s="51">
        <v>-1249850.5351</v>
      </c>
      <c r="BS14" s="42">
        <v>82562.477199999994</v>
      </c>
      <c r="BT14" s="42">
        <v>1332232.5895</v>
      </c>
      <c r="BU14" s="51">
        <v>-1249670.1122999999</v>
      </c>
      <c r="BV14" s="42">
        <v>82760.744099999996</v>
      </c>
      <c r="BW14" s="42">
        <v>1332250.4335</v>
      </c>
      <c r="BX14" s="51">
        <v>-1249489.6894</v>
      </c>
      <c r="BY14" s="42">
        <v>82959.010999999999</v>
      </c>
      <c r="BZ14" s="42">
        <v>1332268.2775999999</v>
      </c>
      <c r="CA14" s="51">
        <v>-1249309.2666</v>
      </c>
      <c r="CB14" s="42">
        <v>83157.277799999996</v>
      </c>
      <c r="CC14" s="42">
        <v>1332286.1216</v>
      </c>
      <c r="CD14" s="51">
        <v>-1249128.8437000001</v>
      </c>
      <c r="CE14" s="42">
        <v>83355.544699999999</v>
      </c>
      <c r="CF14" s="42">
        <v>1332303.9656</v>
      </c>
      <c r="CG14" s="51">
        <v>-1248948.4209</v>
      </c>
      <c r="CH14" s="42">
        <v>83553.811600000001</v>
      </c>
      <c r="CI14" s="42">
        <v>1332321.8096</v>
      </c>
      <c r="CJ14" s="51">
        <v>-1248767.9979999999</v>
      </c>
      <c r="CK14" s="42">
        <v>83752.078399999999</v>
      </c>
      <c r="CL14" s="42">
        <v>1332339.6536000001</v>
      </c>
      <c r="CM14" s="51">
        <v>-1248587.5752000001</v>
      </c>
      <c r="CN14" s="42">
        <v>83823.420000793703</v>
      </c>
      <c r="CO14" s="42">
        <v>1332346.0743634922</v>
      </c>
      <c r="CP14" s="51">
        <v>-1248522.6543626986</v>
      </c>
      <c r="CQ14" s="42">
        <v>84011.046470748261</v>
      </c>
      <c r="CR14" s="42">
        <v>1332362.9607463719</v>
      </c>
      <c r="CS14" s="51">
        <v>-1248351.9142756236</v>
      </c>
      <c r="CT14" s="42">
        <v>84198.029422118736</v>
      </c>
      <c r="CU14" s="42">
        <v>1332379.7892104287</v>
      </c>
      <c r="CV14" s="51">
        <v>-1248181.7597883099</v>
      </c>
      <c r="CW14" s="64">
        <f t="shared" si="0"/>
        <v>2526701.8026936613</v>
      </c>
      <c r="CX14" s="42">
        <f t="shared" si="1"/>
        <v>2323853.8802715424</v>
      </c>
    </row>
    <row r="15" spans="1:102" x14ac:dyDescent="0.25">
      <c r="A15" t="s">
        <v>67</v>
      </c>
      <c r="B15">
        <v>2025</v>
      </c>
      <c r="C15">
        <v>1</v>
      </c>
      <c r="E15" s="42">
        <v>205831.4841</v>
      </c>
      <c r="F15" s="42">
        <v>1116942.1797</v>
      </c>
      <c r="G15" s="42">
        <v>-911110.69559999998</v>
      </c>
      <c r="H15" s="51">
        <v>-1014026.43765</v>
      </c>
      <c r="I15" s="42">
        <v>214729.80859999999</v>
      </c>
      <c r="J15" s="42">
        <v>1117743.0289</v>
      </c>
      <c r="K15" s="42">
        <v>-903013.22030000004</v>
      </c>
      <c r="L15" s="51">
        <v>-1010378.1246</v>
      </c>
      <c r="M15" s="42">
        <v>222296.91279999999</v>
      </c>
      <c r="N15" s="42">
        <v>1118424.0682999999</v>
      </c>
      <c r="O15" s="42">
        <v>-896127.15549999999</v>
      </c>
      <c r="P15" s="51">
        <v>-1007275.6118999999</v>
      </c>
      <c r="Q15" s="42">
        <v>229252.7346</v>
      </c>
      <c r="R15" s="42">
        <v>1119050.0922999999</v>
      </c>
      <c r="S15" s="51">
        <v>-889797.35759999999</v>
      </c>
      <c r="T15" s="42">
        <v>235941.79980000001</v>
      </c>
      <c r="U15" s="42">
        <v>1119652.1081000001</v>
      </c>
      <c r="V15" s="51">
        <v>-883710.30830000003</v>
      </c>
      <c r="W15" s="42">
        <v>242331.14490000001</v>
      </c>
      <c r="X15" s="42">
        <v>1120227.1492000001</v>
      </c>
      <c r="Y15" s="51">
        <v>-877896.00430000003</v>
      </c>
      <c r="Z15" s="42">
        <v>248408.9278</v>
      </c>
      <c r="AA15" s="42">
        <v>1120774.1495999999</v>
      </c>
      <c r="AB15" s="51">
        <v>-872365.22180000006</v>
      </c>
      <c r="AC15" s="42">
        <v>254146.8247</v>
      </c>
      <c r="AD15" s="42">
        <v>1121290.5604000001</v>
      </c>
      <c r="AE15" s="51">
        <v>-867143.73569999996</v>
      </c>
      <c r="AF15" s="42">
        <v>259289.9209</v>
      </c>
      <c r="AG15" s="42">
        <v>1121753.439</v>
      </c>
      <c r="AH15" s="51">
        <v>-862463.51809999999</v>
      </c>
      <c r="AI15" s="42">
        <v>264449.49890000001</v>
      </c>
      <c r="AJ15" s="42">
        <v>1122217.801</v>
      </c>
      <c r="AK15" s="51">
        <v>-857768.30209999997</v>
      </c>
      <c r="AL15" s="42">
        <v>269620.91899999999</v>
      </c>
      <c r="AM15" s="42">
        <v>1122683.2289</v>
      </c>
      <c r="AN15" s="51">
        <v>-853062.30989999999</v>
      </c>
      <c r="AO15" s="42">
        <v>274905.63449999999</v>
      </c>
      <c r="AP15" s="42">
        <v>1123158.8532</v>
      </c>
      <c r="AQ15" s="51">
        <v>-848253.21880000003</v>
      </c>
      <c r="AR15" s="42">
        <v>280048.73070000001</v>
      </c>
      <c r="AS15" s="42">
        <v>1123621.7319</v>
      </c>
      <c r="AT15" s="51">
        <v>-843573.00120000006</v>
      </c>
      <c r="AU15" s="42">
        <v>285248.47470000002</v>
      </c>
      <c r="AV15" s="42">
        <v>1124089.7089</v>
      </c>
      <c r="AW15" s="51">
        <v>-838841.23419999995</v>
      </c>
      <c r="AX15" s="42">
        <v>290533.19010000001</v>
      </c>
      <c r="AY15" s="42">
        <v>1124565.3333000001</v>
      </c>
      <c r="AZ15" s="51">
        <v>-834032.14309999999</v>
      </c>
      <c r="BA15" s="42">
        <v>295874.55320000002</v>
      </c>
      <c r="BB15" s="42">
        <v>1125046.0559</v>
      </c>
      <c r="BC15" s="51">
        <v>-829171.50269999995</v>
      </c>
      <c r="BD15" s="42">
        <v>301045.97330000001</v>
      </c>
      <c r="BE15" s="42">
        <v>1125511.4837</v>
      </c>
      <c r="BF15" s="51">
        <v>-824465.51040000003</v>
      </c>
      <c r="BG15" s="42">
        <v>306460.46580000001</v>
      </c>
      <c r="BH15" s="42">
        <v>1125998.7881</v>
      </c>
      <c r="BI15" s="51">
        <v>-819538.32220000005</v>
      </c>
      <c r="BJ15" s="42">
        <v>311745.1813</v>
      </c>
      <c r="BK15" s="42">
        <v>1126474.4125000001</v>
      </c>
      <c r="BL15" s="51">
        <v>-814729.23120000004</v>
      </c>
      <c r="BM15" s="42">
        <v>317058.2206</v>
      </c>
      <c r="BN15" s="42">
        <v>1126952.5859999999</v>
      </c>
      <c r="BO15" s="51">
        <v>-809894.36540000001</v>
      </c>
      <c r="BP15" s="42">
        <v>322371.2599</v>
      </c>
      <c r="BQ15" s="42">
        <v>1127430.7594999999</v>
      </c>
      <c r="BR15" s="51">
        <v>-805059.49970000004</v>
      </c>
      <c r="BS15" s="42">
        <v>327627.65149999998</v>
      </c>
      <c r="BT15" s="42">
        <v>1127903.8348000001</v>
      </c>
      <c r="BU15" s="51">
        <v>-800276.18330000003</v>
      </c>
      <c r="BV15" s="42">
        <v>332770.74770000001</v>
      </c>
      <c r="BW15" s="42">
        <v>1128366.7134</v>
      </c>
      <c r="BX15" s="51">
        <v>-795595.96569999994</v>
      </c>
      <c r="BY15" s="42">
        <v>338027.13939999999</v>
      </c>
      <c r="BZ15" s="42">
        <v>1128839.7886999999</v>
      </c>
      <c r="CA15" s="51">
        <v>-790812.64930000005</v>
      </c>
      <c r="CB15" s="42">
        <v>343056.94030000002</v>
      </c>
      <c r="CC15" s="42">
        <v>1129292.4708</v>
      </c>
      <c r="CD15" s="51">
        <v>-786235.53049999999</v>
      </c>
      <c r="CE15" s="42">
        <v>348058.41739999998</v>
      </c>
      <c r="CF15" s="42">
        <v>1129742.6037000001</v>
      </c>
      <c r="CG15" s="51">
        <v>-781684.18629999994</v>
      </c>
      <c r="CH15" s="42">
        <v>353217.99530000001</v>
      </c>
      <c r="CI15" s="42">
        <v>1130206.9657000001</v>
      </c>
      <c r="CJ15" s="51">
        <v>-776988.97039999999</v>
      </c>
      <c r="CK15" s="42">
        <v>358417.73920000001</v>
      </c>
      <c r="CL15" s="42">
        <v>1130674.9427</v>
      </c>
      <c r="CM15" s="51">
        <v>-772257.2034</v>
      </c>
      <c r="CN15" s="42">
        <v>365928.95815714262</v>
      </c>
      <c r="CO15" s="42">
        <v>1131350.9523825399</v>
      </c>
      <c r="CP15" s="51">
        <v>-765421.99422539724</v>
      </c>
      <c r="CQ15" s="42">
        <v>370788.22638594173</v>
      </c>
      <c r="CR15" s="42">
        <v>1131788.2865229025</v>
      </c>
      <c r="CS15" s="51">
        <v>-761000.06013696082</v>
      </c>
      <c r="CT15" s="42">
        <v>375777.27714697085</v>
      </c>
      <c r="CU15" s="42">
        <v>1132237.3010905988</v>
      </c>
      <c r="CV15" s="51">
        <v>-756460.02394362795</v>
      </c>
      <c r="CW15" s="64">
        <f t="shared" si="0"/>
        <v>9145262.7526900545</v>
      </c>
      <c r="CX15" s="42">
        <f t="shared" si="1"/>
        <v>8448056.3727930821</v>
      </c>
    </row>
    <row r="16" spans="1:102" hidden="1" x14ac:dyDescent="0.25">
      <c r="A16" t="s">
        <v>128</v>
      </c>
      <c r="B16">
        <v>2025</v>
      </c>
      <c r="C16">
        <v>3</v>
      </c>
      <c r="E16" s="42">
        <v>1735184.5911999999</v>
      </c>
      <c r="F16" s="42">
        <v>4204021.4412000002</v>
      </c>
      <c r="G16" s="42">
        <v>-2468836.85</v>
      </c>
      <c r="H16" s="51">
        <v>-3336429.1456000004</v>
      </c>
      <c r="I16" s="42">
        <v>1864564.8437999999</v>
      </c>
      <c r="J16" s="42">
        <v>4214371.8613999998</v>
      </c>
      <c r="K16" s="42">
        <v>-2349807.0175999999</v>
      </c>
      <c r="L16" s="51">
        <v>-3282089.4394999999</v>
      </c>
      <c r="M16" s="42">
        <v>1991945.89</v>
      </c>
      <c r="N16" s="42">
        <v>4224562.3450999996</v>
      </c>
      <c r="O16" s="42">
        <v>-2232616.4550999999</v>
      </c>
      <c r="P16" s="51">
        <v>-3228589.4000999997</v>
      </c>
      <c r="Q16" s="42">
        <v>2100100.4728000001</v>
      </c>
      <c r="R16" s="42">
        <v>4233214.7116999999</v>
      </c>
      <c r="S16" s="51">
        <v>-2133114.2389000002</v>
      </c>
      <c r="T16" s="42">
        <v>2219058.594</v>
      </c>
      <c r="U16" s="42">
        <v>4242731.3613999998</v>
      </c>
      <c r="V16" s="51">
        <v>-2023672.7674</v>
      </c>
      <c r="W16" s="42">
        <v>2323967.1331000002</v>
      </c>
      <c r="X16" s="42">
        <v>4251124.0444999998</v>
      </c>
      <c r="Y16" s="51">
        <v>-1927156.9114999999</v>
      </c>
      <c r="Z16" s="42">
        <v>2441728.9345</v>
      </c>
      <c r="AA16" s="42">
        <v>4260544.9886999996</v>
      </c>
      <c r="AB16" s="51">
        <v>-1818816.0541000001</v>
      </c>
      <c r="AC16" s="42">
        <v>2538475.7518000002</v>
      </c>
      <c r="AD16" s="42">
        <v>4268284.7340000002</v>
      </c>
      <c r="AE16" s="51">
        <v>-1729808.9822</v>
      </c>
      <c r="AF16" s="42">
        <v>2641391.1724</v>
      </c>
      <c r="AG16" s="42">
        <v>4276517.9676999999</v>
      </c>
      <c r="AH16" s="51">
        <v>-1635126.7953000001</v>
      </c>
      <c r="AI16" s="42">
        <v>2736341.6272999998</v>
      </c>
      <c r="AJ16" s="42">
        <v>4284114.0040999996</v>
      </c>
      <c r="AK16" s="51">
        <v>-1547772.3768</v>
      </c>
      <c r="AL16" s="42">
        <v>2840741.8254</v>
      </c>
      <c r="AM16" s="42">
        <v>4292466.0198999997</v>
      </c>
      <c r="AN16" s="51">
        <v>-1451724.1945</v>
      </c>
      <c r="AO16" s="42">
        <v>2936482.9813999999</v>
      </c>
      <c r="AP16" s="42">
        <v>4300125.3124000002</v>
      </c>
      <c r="AQ16" s="51">
        <v>-1363642.331</v>
      </c>
      <c r="AR16" s="42">
        <v>3043645.4889000002</v>
      </c>
      <c r="AS16" s="42">
        <v>4308698.3130000001</v>
      </c>
      <c r="AT16" s="51">
        <v>-1265052.8241000001</v>
      </c>
      <c r="AU16" s="42">
        <v>3139285.4315999998</v>
      </c>
      <c r="AV16" s="42">
        <v>4316349.5083999997</v>
      </c>
      <c r="AW16" s="51">
        <v>-1177064.0767999999</v>
      </c>
      <c r="AX16" s="42">
        <v>3246639.8456000001</v>
      </c>
      <c r="AY16" s="42">
        <v>4324937.8614999996</v>
      </c>
      <c r="AZ16" s="51">
        <v>-1078298.0160000001</v>
      </c>
      <c r="BA16" s="42">
        <v>3342074.3859999999</v>
      </c>
      <c r="BB16" s="42">
        <v>4332572.6248000003</v>
      </c>
      <c r="BC16" s="51">
        <v>-990498.23880000005</v>
      </c>
      <c r="BD16" s="42">
        <v>3451838.2666000002</v>
      </c>
      <c r="BE16" s="42">
        <v>4341353.7352</v>
      </c>
      <c r="BF16" s="51">
        <v>-889515.46860000002</v>
      </c>
      <c r="BG16" s="42">
        <v>3545960.5301999999</v>
      </c>
      <c r="BH16" s="42">
        <v>4348883.5163000003</v>
      </c>
      <c r="BI16" s="51">
        <v>-802922.98609999998</v>
      </c>
      <c r="BJ16" s="42">
        <v>3654723.2412</v>
      </c>
      <c r="BK16" s="42">
        <v>4357584.5332000004</v>
      </c>
      <c r="BL16" s="51">
        <v>-702861.29200000002</v>
      </c>
      <c r="BM16" s="42">
        <v>3748393.426</v>
      </c>
      <c r="BN16" s="42">
        <v>4365078.148</v>
      </c>
      <c r="BO16" s="51">
        <v>-616684.72199999995</v>
      </c>
      <c r="BP16" s="42">
        <v>3860773.0340999998</v>
      </c>
      <c r="BQ16" s="42">
        <v>4374068.5165999997</v>
      </c>
      <c r="BR16" s="51">
        <v>-513295.48249999998</v>
      </c>
      <c r="BS16" s="42">
        <v>3936189.9024</v>
      </c>
      <c r="BT16" s="42">
        <v>4380101.8661000002</v>
      </c>
      <c r="BU16" s="51">
        <v>-443911.96370000002</v>
      </c>
      <c r="BV16" s="42">
        <v>4030760.2606000002</v>
      </c>
      <c r="BW16" s="42">
        <v>4387667.4946999997</v>
      </c>
      <c r="BX16" s="51">
        <v>-356907.23420000001</v>
      </c>
      <c r="BY16" s="42">
        <v>4311327.4663000004</v>
      </c>
      <c r="BZ16" s="42">
        <v>4410112.8711999999</v>
      </c>
      <c r="CA16" s="51">
        <v>-98785.404899999994</v>
      </c>
      <c r="CB16" s="42">
        <v>4414046.0942000002</v>
      </c>
      <c r="CC16" s="42">
        <v>4418330.3613999998</v>
      </c>
      <c r="CD16" s="51">
        <v>-4284.2672000000002</v>
      </c>
      <c r="CE16" s="42">
        <v>4490578.0059000002</v>
      </c>
      <c r="CF16" s="42">
        <v>4424452.9144000001</v>
      </c>
      <c r="CG16" s="51">
        <v>66125.091499999995</v>
      </c>
      <c r="CH16" s="42">
        <v>4568664.8865999999</v>
      </c>
      <c r="CI16" s="42">
        <v>4430699.8647999996</v>
      </c>
      <c r="CJ16" s="51">
        <v>137965.02179999999</v>
      </c>
      <c r="CK16" s="42">
        <v>4648277.517</v>
      </c>
      <c r="CL16" s="42">
        <v>4437068.8753000004</v>
      </c>
      <c r="CM16" s="51">
        <v>211208.64180000001</v>
      </c>
      <c r="CN16" s="42">
        <v>4753490.6345198452</v>
      </c>
      <c r="CO16" s="42">
        <v>4445485.9246555567</v>
      </c>
      <c r="CP16" s="51">
        <v>308004.70986428857</v>
      </c>
      <c r="CQ16" s="42">
        <v>4857550.2831901312</v>
      </c>
      <c r="CR16" s="42">
        <v>4453810.6965507977</v>
      </c>
      <c r="CS16" s="51">
        <v>403739.58663933352</v>
      </c>
      <c r="CT16" s="42">
        <v>4962789.0601044595</v>
      </c>
      <c r="CU16" s="42">
        <v>4462229.7987052277</v>
      </c>
      <c r="CV16" s="51">
        <v>500559.26139923185</v>
      </c>
      <c r="CW16" s="64">
        <f t="shared" si="0"/>
        <v>104376991.57871443</v>
      </c>
      <c r="CX16" s="42">
        <f t="shared" si="1"/>
        <v>96618354.856109962</v>
      </c>
    </row>
    <row r="17" spans="1:102" x14ac:dyDescent="0.25">
      <c r="A17" t="s">
        <v>71</v>
      </c>
      <c r="B17">
        <v>2025</v>
      </c>
      <c r="C17">
        <v>3</v>
      </c>
      <c r="D17" t="s">
        <v>347</v>
      </c>
      <c r="E17" s="42">
        <v>1633910.1612</v>
      </c>
      <c r="F17" s="42">
        <v>4867122.5055999998</v>
      </c>
      <c r="G17" s="42">
        <v>-3233212.3443999998</v>
      </c>
      <c r="H17" s="51">
        <v>-4050167.4249999998</v>
      </c>
      <c r="I17" s="42">
        <v>1735024.5575000001</v>
      </c>
      <c r="J17" s="42">
        <v>4875211.6573000001</v>
      </c>
      <c r="K17" s="42">
        <v>-3140187.0998</v>
      </c>
      <c r="L17" s="51">
        <v>-4007699.37855</v>
      </c>
      <c r="M17" s="42">
        <v>1822118.6973000001</v>
      </c>
      <c r="N17" s="42">
        <v>4882179.1885000002</v>
      </c>
      <c r="O17" s="42">
        <v>-3060060.4911000002</v>
      </c>
      <c r="P17" s="51">
        <v>-3971119.8398500001</v>
      </c>
      <c r="Q17" s="42">
        <v>1903424.8081</v>
      </c>
      <c r="R17" s="42">
        <v>4888683.6772999996</v>
      </c>
      <c r="S17" s="51">
        <v>-2985258.8692999999</v>
      </c>
      <c r="T17" s="42">
        <v>1980372.8075000001</v>
      </c>
      <c r="U17" s="42">
        <v>4894839.5173000004</v>
      </c>
      <c r="V17" s="51">
        <v>-2914466.7097999998</v>
      </c>
      <c r="W17" s="42">
        <v>2054394.8307</v>
      </c>
      <c r="X17" s="42">
        <v>4900761.2790999999</v>
      </c>
      <c r="Y17" s="51">
        <v>-2846366.4484999999</v>
      </c>
      <c r="Z17" s="42">
        <v>2123657.4424000001</v>
      </c>
      <c r="AA17" s="42">
        <v>4906302.2880999995</v>
      </c>
      <c r="AB17" s="51">
        <v>-2782644.8456999999</v>
      </c>
      <c r="AC17" s="42">
        <v>2188072.2906999998</v>
      </c>
      <c r="AD17" s="42">
        <v>4911455.4759</v>
      </c>
      <c r="AE17" s="51">
        <v>-2723383.1852000002</v>
      </c>
      <c r="AF17" s="42">
        <v>2248651.4780000001</v>
      </c>
      <c r="AG17" s="42">
        <v>4916301.8108999999</v>
      </c>
      <c r="AH17" s="51">
        <v>-2667650.3328999998</v>
      </c>
      <c r="AI17" s="42">
        <v>2308891.9528000001</v>
      </c>
      <c r="AJ17" s="42">
        <v>4921121.0488999998</v>
      </c>
      <c r="AK17" s="51">
        <v>-2612229.0961000002</v>
      </c>
      <c r="AL17" s="42">
        <v>2369133.8533999999</v>
      </c>
      <c r="AM17" s="42">
        <v>4925940.4009999996</v>
      </c>
      <c r="AN17" s="51">
        <v>-2556806.5474999999</v>
      </c>
      <c r="AO17" s="42">
        <v>2430846.6387999998</v>
      </c>
      <c r="AP17" s="42">
        <v>4930877.4238</v>
      </c>
      <c r="AQ17" s="51">
        <v>-2500030.7850000001</v>
      </c>
      <c r="AR17" s="42">
        <v>2491663.2351000002</v>
      </c>
      <c r="AS17" s="42">
        <v>4935742.7515000002</v>
      </c>
      <c r="AT17" s="51">
        <v>-2444079.5164000001</v>
      </c>
      <c r="AU17" s="42">
        <v>2553903.0063999998</v>
      </c>
      <c r="AV17" s="42">
        <v>4940721.9331999999</v>
      </c>
      <c r="AW17" s="51">
        <v>-2386818.9268</v>
      </c>
      <c r="AX17" s="42">
        <v>2616041.8247000002</v>
      </c>
      <c r="AY17" s="42">
        <v>4945693.0387000004</v>
      </c>
      <c r="AZ17" s="51">
        <v>-2329651.2140000002</v>
      </c>
      <c r="BA17" s="42">
        <v>2680059.0962</v>
      </c>
      <c r="BB17" s="42">
        <v>4950814.4204000002</v>
      </c>
      <c r="BC17" s="51">
        <v>-2270755.3242000001</v>
      </c>
      <c r="BD17" s="42">
        <v>2745435.3119999999</v>
      </c>
      <c r="BE17" s="42">
        <v>4956044.5176999997</v>
      </c>
      <c r="BF17" s="51">
        <v>-2210609.2056</v>
      </c>
      <c r="BG17" s="42">
        <v>2811515.8934999998</v>
      </c>
      <c r="BH17" s="42">
        <v>4961330.9642000003</v>
      </c>
      <c r="BI17" s="51">
        <v>-2149815.0706000002</v>
      </c>
      <c r="BJ17" s="42">
        <v>2876178.4931000001</v>
      </c>
      <c r="BK17" s="42">
        <v>4966503.9720999999</v>
      </c>
      <c r="BL17" s="51">
        <v>-2090325.4790000001</v>
      </c>
      <c r="BM17" s="42">
        <v>2941540.0482999999</v>
      </c>
      <c r="BN17" s="42">
        <v>4971732.8964999998</v>
      </c>
      <c r="BO17" s="51">
        <v>-2030192.8483</v>
      </c>
      <c r="BP17" s="42">
        <v>3006805.7171999998</v>
      </c>
      <c r="BQ17" s="42">
        <v>4976954.1501000002</v>
      </c>
      <c r="BR17" s="51">
        <v>-1970148.4328999999</v>
      </c>
      <c r="BS17" s="42">
        <v>3067170.4517999999</v>
      </c>
      <c r="BT17" s="42">
        <v>4981783.3288000003</v>
      </c>
      <c r="BU17" s="51">
        <v>-1914612.8770999999</v>
      </c>
      <c r="BV17" s="42">
        <v>3124946.4065999999</v>
      </c>
      <c r="BW17" s="42">
        <v>4986405.4051999999</v>
      </c>
      <c r="BX17" s="51">
        <v>-1861458.9986</v>
      </c>
      <c r="BY17" s="42">
        <v>3182306.2736999998</v>
      </c>
      <c r="BZ17" s="42">
        <v>4990994.1946</v>
      </c>
      <c r="CA17" s="51">
        <v>-1808687.9209</v>
      </c>
      <c r="CB17" s="42">
        <v>3237133.8402</v>
      </c>
      <c r="CC17" s="42">
        <v>4995380.3998999996</v>
      </c>
      <c r="CD17" s="51">
        <v>-1758246.5597000001</v>
      </c>
      <c r="CE17" s="42">
        <v>3292495.9268999998</v>
      </c>
      <c r="CF17" s="42">
        <v>4999809.3668</v>
      </c>
      <c r="CG17" s="51">
        <v>-1707313.44</v>
      </c>
      <c r="CH17" s="42">
        <v>3348703.5509000001</v>
      </c>
      <c r="CI17" s="42">
        <v>5004305.9768000003</v>
      </c>
      <c r="CJ17" s="51">
        <v>-1655602.4258999999</v>
      </c>
      <c r="CK17" s="42">
        <v>3406096.8506</v>
      </c>
      <c r="CL17" s="42">
        <v>5008897.4407000002</v>
      </c>
      <c r="CM17" s="51">
        <v>-1602800.5902</v>
      </c>
      <c r="CN17" s="42">
        <v>3505947.1425873041</v>
      </c>
      <c r="CO17" s="42">
        <v>5016885.4640904767</v>
      </c>
      <c r="CP17" s="51">
        <v>-1510938.3215031726</v>
      </c>
      <c r="CQ17" s="42">
        <v>3563611.0690394491</v>
      </c>
      <c r="CR17" s="42">
        <v>5021498.5782073699</v>
      </c>
      <c r="CS17" s="51">
        <v>-1457887.5091679208</v>
      </c>
      <c r="CT17" s="42">
        <v>3622680.2149975747</v>
      </c>
      <c r="CU17" s="42">
        <v>5026224.1098846896</v>
      </c>
      <c r="CV17" s="51">
        <v>-1403543.8948871149</v>
      </c>
      <c r="CW17" s="64">
        <f t="shared" si="0"/>
        <v>82872733.872224346</v>
      </c>
      <c r="CX17" s="42">
        <f t="shared" si="1"/>
        <v>76654526.949226752</v>
      </c>
    </row>
    <row r="18" spans="1:102" x14ac:dyDescent="0.25">
      <c r="A18" t="s">
        <v>130</v>
      </c>
      <c r="B18">
        <v>2025</v>
      </c>
      <c r="C18">
        <v>3</v>
      </c>
      <c r="E18" s="42">
        <v>2962728.5181999998</v>
      </c>
      <c r="F18" s="42">
        <v>3887245.0828999998</v>
      </c>
      <c r="G18" s="42">
        <v>-924516.56469999999</v>
      </c>
      <c r="H18" s="51">
        <v>-2405880.8237999999</v>
      </c>
      <c r="I18" s="42">
        <v>3144854.6065000002</v>
      </c>
      <c r="J18" s="42">
        <v>3901815.17</v>
      </c>
      <c r="K18" s="42">
        <v>-756960.56350000005</v>
      </c>
      <c r="L18" s="51">
        <v>-2329387.86675</v>
      </c>
      <c r="M18" s="42">
        <v>3302161.966</v>
      </c>
      <c r="N18" s="42">
        <v>3914399.7587000001</v>
      </c>
      <c r="O18" s="42">
        <v>-612237.79269999999</v>
      </c>
      <c r="P18" s="51">
        <v>-2263318.7757000001</v>
      </c>
      <c r="Q18" s="42">
        <v>3448125.4833</v>
      </c>
      <c r="R18" s="42">
        <v>3926076.8401000001</v>
      </c>
      <c r="S18" s="51">
        <v>-477951.35680000001</v>
      </c>
      <c r="T18" s="42">
        <v>3586096.9974000002</v>
      </c>
      <c r="U18" s="42">
        <v>3937114.5613000002</v>
      </c>
      <c r="V18" s="51">
        <v>-351017.5638</v>
      </c>
      <c r="W18" s="42">
        <v>3726422.1332999999</v>
      </c>
      <c r="X18" s="42">
        <v>3948340.5721</v>
      </c>
      <c r="Y18" s="51">
        <v>-221918.4388</v>
      </c>
      <c r="Z18" s="42">
        <v>3858020.4534</v>
      </c>
      <c r="AA18" s="42">
        <v>3958868.4377000001</v>
      </c>
      <c r="AB18" s="51">
        <v>-100847.9843</v>
      </c>
      <c r="AC18" s="42">
        <v>3977930.4745</v>
      </c>
      <c r="AD18" s="42">
        <v>3968461.2393999998</v>
      </c>
      <c r="AE18" s="51">
        <v>9469.2350000000006</v>
      </c>
      <c r="AF18" s="42">
        <v>4094473.8352999999</v>
      </c>
      <c r="AG18" s="42">
        <v>3977784.7083000001</v>
      </c>
      <c r="AH18" s="51">
        <v>116689.1271</v>
      </c>
      <c r="AI18" s="42">
        <v>4205060.9313000003</v>
      </c>
      <c r="AJ18" s="42">
        <v>3986631.676</v>
      </c>
      <c r="AK18" s="51">
        <v>218429.25529999999</v>
      </c>
      <c r="AL18" s="42">
        <v>4319137.1138000004</v>
      </c>
      <c r="AM18" s="42">
        <v>3995757.7705999999</v>
      </c>
      <c r="AN18" s="51">
        <v>323379.34330000001</v>
      </c>
      <c r="AO18" s="42">
        <v>4435554.6316999998</v>
      </c>
      <c r="AP18" s="42">
        <v>4005071.1719999998</v>
      </c>
      <c r="AQ18" s="51">
        <v>430483.45970000001</v>
      </c>
      <c r="AR18" s="42">
        <v>4552625.7366000004</v>
      </c>
      <c r="AS18" s="42">
        <v>4014436.8604000001</v>
      </c>
      <c r="AT18" s="51">
        <v>538188.87620000006</v>
      </c>
      <c r="AU18" s="42">
        <v>4668317.5110999998</v>
      </c>
      <c r="AV18" s="42">
        <v>4023692.2023</v>
      </c>
      <c r="AW18" s="51">
        <v>644625.30870000005</v>
      </c>
      <c r="AX18" s="42">
        <v>4783532.2242999999</v>
      </c>
      <c r="AY18" s="42">
        <v>4032909.3794</v>
      </c>
      <c r="AZ18" s="51">
        <v>750622.84490000003</v>
      </c>
      <c r="BA18" s="42">
        <v>4902364.9093000004</v>
      </c>
      <c r="BB18" s="42">
        <v>4042415.9942000001</v>
      </c>
      <c r="BC18" s="51">
        <v>859948.91509999998</v>
      </c>
      <c r="BD18" s="42">
        <v>5017852.8054999998</v>
      </c>
      <c r="BE18" s="42">
        <v>4051655.0258999998</v>
      </c>
      <c r="BF18" s="51">
        <v>966197.77960000001</v>
      </c>
      <c r="BG18" s="42">
        <v>5141293.2540999996</v>
      </c>
      <c r="BH18" s="42">
        <v>4061530.2618</v>
      </c>
      <c r="BI18" s="51">
        <v>1079762.9923</v>
      </c>
      <c r="BJ18" s="42">
        <v>5258249.6937999995</v>
      </c>
      <c r="BK18" s="42">
        <v>4070886.7769999998</v>
      </c>
      <c r="BL18" s="51">
        <v>1187362.9168</v>
      </c>
      <c r="BM18" s="42">
        <v>5376700.8562000003</v>
      </c>
      <c r="BN18" s="42">
        <v>4080362.87</v>
      </c>
      <c r="BO18" s="51">
        <v>1296337.9861999999</v>
      </c>
      <c r="BP18" s="42">
        <v>5500109.3417999996</v>
      </c>
      <c r="BQ18" s="42">
        <v>4090235.5488</v>
      </c>
      <c r="BR18" s="51">
        <v>1409873.7930000001</v>
      </c>
      <c r="BS18" s="42">
        <v>5609626.8531999998</v>
      </c>
      <c r="BT18" s="42">
        <v>4098996.9497000002</v>
      </c>
      <c r="BU18" s="51">
        <v>1510629.9035</v>
      </c>
      <c r="BV18" s="42">
        <v>5724378.5941000003</v>
      </c>
      <c r="BW18" s="42">
        <v>4108177.0890000002</v>
      </c>
      <c r="BX18" s="51">
        <v>1616201.5051</v>
      </c>
      <c r="BY18" s="42">
        <v>5835400.4227999998</v>
      </c>
      <c r="BZ18" s="42">
        <v>4117058.8352999999</v>
      </c>
      <c r="CA18" s="51">
        <v>1718341.5874999999</v>
      </c>
      <c r="CB18" s="42">
        <v>5945665.2434</v>
      </c>
      <c r="CC18" s="42">
        <v>4125880.0208999999</v>
      </c>
      <c r="CD18" s="51">
        <v>1819785.2224999999</v>
      </c>
      <c r="CE18" s="42">
        <v>6057619.0351</v>
      </c>
      <c r="CF18" s="42">
        <v>4134836.3243</v>
      </c>
      <c r="CG18" s="51">
        <v>1922782.7108</v>
      </c>
      <c r="CH18" s="42">
        <v>6171374.7994999997</v>
      </c>
      <c r="CI18" s="42">
        <v>4143936.7853999999</v>
      </c>
      <c r="CJ18" s="51">
        <v>2027438.0141</v>
      </c>
      <c r="CK18" s="42">
        <v>6287384.5323999999</v>
      </c>
      <c r="CL18" s="42">
        <v>4153217.5639999998</v>
      </c>
      <c r="CM18" s="51">
        <v>2134166.9682999998</v>
      </c>
      <c r="CN18" s="42">
        <v>6446304.7212055624</v>
      </c>
      <c r="CO18" s="42">
        <v>4165931.1791563518</v>
      </c>
      <c r="CP18" s="51">
        <v>2280373.5420492105</v>
      </c>
      <c r="CQ18" s="42">
        <v>6555572.2387119234</v>
      </c>
      <c r="CR18" s="42">
        <v>4174672.58055567</v>
      </c>
      <c r="CS18" s="51">
        <v>2380899.6581562534</v>
      </c>
      <c r="CT18" s="42">
        <v>6667256.4228461087</v>
      </c>
      <c r="CU18" s="42">
        <v>4183607.3152877782</v>
      </c>
      <c r="CV18" s="51">
        <v>2483649.1075583305</v>
      </c>
      <c r="CW18" s="64">
        <f t="shared" si="0"/>
        <v>151562196.34066361</v>
      </c>
      <c r="CX18" s="42">
        <f t="shared" si="1"/>
        <v>140190067.37246752</v>
      </c>
    </row>
    <row r="19" spans="1:102" x14ac:dyDescent="0.25">
      <c r="A19" t="s">
        <v>43</v>
      </c>
      <c r="B19">
        <v>2025</v>
      </c>
      <c r="C19">
        <v>1</v>
      </c>
      <c r="E19" s="42">
        <v>125712.0147</v>
      </c>
      <c r="F19" s="42">
        <v>1990788.3278000001</v>
      </c>
      <c r="G19" s="42">
        <v>-1865076.3132</v>
      </c>
      <c r="H19" s="51">
        <v>-1927932.32045</v>
      </c>
      <c r="I19" s="42">
        <v>129550.7277</v>
      </c>
      <c r="J19" s="42">
        <v>1991114.6184</v>
      </c>
      <c r="K19" s="42">
        <v>-1861563.8907000001</v>
      </c>
      <c r="L19" s="51">
        <v>-1926339.25455</v>
      </c>
      <c r="M19" s="42">
        <v>132717.1232</v>
      </c>
      <c r="N19" s="42">
        <v>1991383.7620000001</v>
      </c>
      <c r="O19" s="42">
        <v>-1858666.6388999999</v>
      </c>
      <c r="P19" s="51">
        <v>-1925025.2004000002</v>
      </c>
      <c r="Q19" s="42">
        <v>135643.59909999999</v>
      </c>
      <c r="R19" s="42">
        <v>1991632.5125</v>
      </c>
      <c r="S19" s="51">
        <v>-1855988.9134</v>
      </c>
      <c r="T19" s="42">
        <v>138342.6942</v>
      </c>
      <c r="U19" s="42">
        <v>1991861.9356</v>
      </c>
      <c r="V19" s="51">
        <v>-1853519.2413999999</v>
      </c>
      <c r="W19" s="42">
        <v>140939.2807</v>
      </c>
      <c r="X19" s="42">
        <v>1992082.6454</v>
      </c>
      <c r="Y19" s="51">
        <v>-1851143.3647</v>
      </c>
      <c r="Z19" s="42">
        <v>143278.4964</v>
      </c>
      <c r="AA19" s="42">
        <v>1992281.4787999999</v>
      </c>
      <c r="AB19" s="51">
        <v>-1849002.9823</v>
      </c>
      <c r="AC19" s="42">
        <v>145455.2237</v>
      </c>
      <c r="AD19" s="42">
        <v>1992466.5005999999</v>
      </c>
      <c r="AE19" s="51">
        <v>-1847011.2768999999</v>
      </c>
      <c r="AF19" s="42">
        <v>147464.55009999999</v>
      </c>
      <c r="AG19" s="42">
        <v>1992637.2933</v>
      </c>
      <c r="AH19" s="51">
        <v>-1845172.7433</v>
      </c>
      <c r="AI19" s="42">
        <v>149443.88649999999</v>
      </c>
      <c r="AJ19" s="42">
        <v>1992805.5368999999</v>
      </c>
      <c r="AK19" s="51">
        <v>-1843361.6503999999</v>
      </c>
      <c r="AL19" s="42">
        <v>151410.68410000001</v>
      </c>
      <c r="AM19" s="42">
        <v>1992972.7146999999</v>
      </c>
      <c r="AN19" s="51">
        <v>-1841562.0305999999</v>
      </c>
      <c r="AO19" s="42">
        <v>153390.02050000001</v>
      </c>
      <c r="AP19" s="42">
        <v>1993140.9583000001</v>
      </c>
      <c r="AQ19" s="51">
        <v>-1839750.9378</v>
      </c>
      <c r="AR19" s="42">
        <v>155386.80809999999</v>
      </c>
      <c r="AS19" s="42">
        <v>1993310.6853</v>
      </c>
      <c r="AT19" s="51">
        <v>-1837923.8770999999</v>
      </c>
      <c r="AU19" s="42">
        <v>157366.1446</v>
      </c>
      <c r="AV19" s="42">
        <v>1993478.9288999999</v>
      </c>
      <c r="AW19" s="51">
        <v>-1836112.7842999999</v>
      </c>
      <c r="AX19" s="42">
        <v>159285.50109999999</v>
      </c>
      <c r="AY19" s="42">
        <v>1993642.0741999999</v>
      </c>
      <c r="AZ19" s="51">
        <v>-1834356.5730999999</v>
      </c>
      <c r="BA19" s="42">
        <v>161312.27859999999</v>
      </c>
      <c r="BB19" s="42">
        <v>1993814.3503</v>
      </c>
      <c r="BC19" s="51">
        <v>-1832502.0715999999</v>
      </c>
      <c r="BD19" s="42">
        <v>163321.60500000001</v>
      </c>
      <c r="BE19" s="42">
        <v>1993985.1429999999</v>
      </c>
      <c r="BF19" s="51">
        <v>-1830663.5379999999</v>
      </c>
      <c r="BG19" s="42">
        <v>165408.36240000001</v>
      </c>
      <c r="BH19" s="42">
        <v>1994162.5174</v>
      </c>
      <c r="BI19" s="51">
        <v>-1828754.155</v>
      </c>
      <c r="BJ19" s="42">
        <v>167327.71890000001</v>
      </c>
      <c r="BK19" s="42">
        <v>1994325.6627</v>
      </c>
      <c r="BL19" s="51">
        <v>-1826997.9438</v>
      </c>
      <c r="BM19" s="42">
        <v>169277.06539999999</v>
      </c>
      <c r="BN19" s="42">
        <v>1994491.3570999999</v>
      </c>
      <c r="BO19" s="51">
        <v>-1825214.2918</v>
      </c>
      <c r="BP19" s="42">
        <v>171213.8731</v>
      </c>
      <c r="BQ19" s="42">
        <v>1994655.9857999999</v>
      </c>
      <c r="BR19" s="51">
        <v>-1823442.1126999999</v>
      </c>
      <c r="BS19" s="42">
        <v>173043.2598</v>
      </c>
      <c r="BT19" s="42">
        <v>1994811.4837</v>
      </c>
      <c r="BU19" s="51">
        <v>-1821768.2239000001</v>
      </c>
      <c r="BV19" s="42">
        <v>174782.67660000001</v>
      </c>
      <c r="BW19" s="42">
        <v>1994959.3341000001</v>
      </c>
      <c r="BX19" s="51">
        <v>-1820176.6575</v>
      </c>
      <c r="BY19" s="42">
        <v>176539.54459999999</v>
      </c>
      <c r="BZ19" s="42">
        <v>1995108.6679</v>
      </c>
      <c r="CA19" s="51">
        <v>-1818569.1232</v>
      </c>
      <c r="CB19" s="42">
        <v>178188.99170000001</v>
      </c>
      <c r="CC19" s="42">
        <v>1995248.8709</v>
      </c>
      <c r="CD19" s="51">
        <v>-1817059.8792000001</v>
      </c>
      <c r="CE19" s="42">
        <v>179808.44870000001</v>
      </c>
      <c r="CF19" s="42">
        <v>1995386.5247</v>
      </c>
      <c r="CG19" s="51">
        <v>-1815578.0759999999</v>
      </c>
      <c r="CH19" s="42">
        <v>181445.35699999999</v>
      </c>
      <c r="CI19" s="42">
        <v>1995525.6618999999</v>
      </c>
      <c r="CJ19" s="51">
        <v>-1814080.3049000001</v>
      </c>
      <c r="CK19" s="42">
        <v>183094.804</v>
      </c>
      <c r="CL19" s="42">
        <v>1995665.8648999999</v>
      </c>
      <c r="CM19" s="51">
        <v>-1812571.0608999999</v>
      </c>
      <c r="CN19" s="42">
        <v>187163.70166190481</v>
      </c>
      <c r="CO19" s="42">
        <v>1996011.7212341267</v>
      </c>
      <c r="CP19" s="51">
        <v>-1808848.0195722219</v>
      </c>
      <c r="CQ19" s="42">
        <v>188877.32099852618</v>
      </c>
      <c r="CR19" s="42">
        <v>1996157.378877891</v>
      </c>
      <c r="CS19" s="51">
        <v>-1807280.0578793648</v>
      </c>
      <c r="CT19" s="42">
        <v>190652.69105814165</v>
      </c>
      <c r="CU19" s="42">
        <v>1996308.2853323987</v>
      </c>
      <c r="CV19" s="51">
        <v>-1805655.5942742571</v>
      </c>
      <c r="CW19" s="64">
        <f t="shared" si="0"/>
        <v>4976844.4542185739</v>
      </c>
      <c r="CX19" s="42">
        <f t="shared" si="1"/>
        <v>4592201.8303604322</v>
      </c>
    </row>
    <row r="20" spans="1:102" x14ac:dyDescent="0.25">
      <c r="A20" t="s">
        <v>76</v>
      </c>
      <c r="B20">
        <v>2025</v>
      </c>
      <c r="C20">
        <v>3</v>
      </c>
      <c r="D20" t="s">
        <v>347</v>
      </c>
      <c r="E20" s="42">
        <v>1147123.3866000001</v>
      </c>
      <c r="F20" s="42">
        <v>4953879.3809000002</v>
      </c>
      <c r="G20" s="42">
        <v>-3806755.9942999999</v>
      </c>
      <c r="H20" s="51">
        <v>-4380317.6875999998</v>
      </c>
      <c r="I20" s="42">
        <v>1218150.6018999999</v>
      </c>
      <c r="J20" s="42">
        <v>4959561.5581</v>
      </c>
      <c r="K20" s="42">
        <v>-3741410.9561999999</v>
      </c>
      <c r="L20" s="51">
        <v>-4350486.25715</v>
      </c>
      <c r="M20" s="42">
        <v>1273694.3666999999</v>
      </c>
      <c r="N20" s="42">
        <v>4964005.0592999998</v>
      </c>
      <c r="O20" s="42">
        <v>-3690310.6924999999</v>
      </c>
      <c r="P20" s="51">
        <v>-4327157.8759500002</v>
      </c>
      <c r="Q20" s="42">
        <v>1321923.0427999999</v>
      </c>
      <c r="R20" s="42">
        <v>4967863.3534000004</v>
      </c>
      <c r="S20" s="51">
        <v>-3645940.3105000001</v>
      </c>
      <c r="T20" s="42">
        <v>1366331.5730999999</v>
      </c>
      <c r="U20" s="42">
        <v>4971416.0357999997</v>
      </c>
      <c r="V20" s="51">
        <v>-3605084.4627</v>
      </c>
      <c r="W20" s="42">
        <v>1408030.0412000001</v>
      </c>
      <c r="X20" s="42">
        <v>4974751.9132000003</v>
      </c>
      <c r="Y20" s="51">
        <v>-3566721.872</v>
      </c>
      <c r="Z20" s="42">
        <v>1446369.2196</v>
      </c>
      <c r="AA20" s="42">
        <v>4977819.0475000003</v>
      </c>
      <c r="AB20" s="51">
        <v>-3531449.8278999999</v>
      </c>
      <c r="AC20" s="42">
        <v>1480590.0211</v>
      </c>
      <c r="AD20" s="42">
        <v>4980556.7116</v>
      </c>
      <c r="AE20" s="51">
        <v>-3499966.6905</v>
      </c>
      <c r="AF20" s="42">
        <v>1512053.6440000001</v>
      </c>
      <c r="AG20" s="42">
        <v>4983073.8015000001</v>
      </c>
      <c r="AH20" s="51">
        <v>-3471020.1575000002</v>
      </c>
      <c r="AI20" s="42">
        <v>1543203.3145999999</v>
      </c>
      <c r="AJ20" s="42">
        <v>4985565.7751000002</v>
      </c>
      <c r="AK20" s="51">
        <v>-3442362.4605</v>
      </c>
      <c r="AL20" s="42">
        <v>1573850.6614999999</v>
      </c>
      <c r="AM20" s="42">
        <v>4988017.5629000003</v>
      </c>
      <c r="AN20" s="51">
        <v>-3414166.9013999999</v>
      </c>
      <c r="AO20" s="42">
        <v>1605340.0778999999</v>
      </c>
      <c r="AP20" s="42">
        <v>4990536.7161999997</v>
      </c>
      <c r="AQ20" s="51">
        <v>-3385196.6383000002</v>
      </c>
      <c r="AR20" s="42">
        <v>1635799.0534000001</v>
      </c>
      <c r="AS20" s="42">
        <v>4992973.4342</v>
      </c>
      <c r="AT20" s="51">
        <v>-3357174.3807999999</v>
      </c>
      <c r="AU20" s="42">
        <v>1666760.3526000001</v>
      </c>
      <c r="AV20" s="42">
        <v>4995450.3381000003</v>
      </c>
      <c r="AW20" s="51">
        <v>-3328689.9855</v>
      </c>
      <c r="AX20" s="42">
        <v>1697169.4778</v>
      </c>
      <c r="AY20" s="42">
        <v>4997883.0681999996</v>
      </c>
      <c r="AZ20" s="51">
        <v>-3300713.5902999998</v>
      </c>
      <c r="BA20" s="42">
        <v>1728742.0053000001</v>
      </c>
      <c r="BB20" s="42">
        <v>5000408.8704000004</v>
      </c>
      <c r="BC20" s="51">
        <v>-3271666.8651000001</v>
      </c>
      <c r="BD20" s="42">
        <v>1760362.6043</v>
      </c>
      <c r="BE20" s="42">
        <v>5002938.5182999996</v>
      </c>
      <c r="BF20" s="51">
        <v>-3242575.9139999999</v>
      </c>
      <c r="BG20" s="42">
        <v>1792574.111</v>
      </c>
      <c r="BH20" s="42">
        <v>5005515.4387999997</v>
      </c>
      <c r="BI20" s="51">
        <v>-3212941.3278000001</v>
      </c>
      <c r="BJ20" s="42">
        <v>1823315.6436000001</v>
      </c>
      <c r="BK20" s="42">
        <v>5007974.7614000002</v>
      </c>
      <c r="BL20" s="51">
        <v>-3184659.1178000001</v>
      </c>
      <c r="BM20" s="42">
        <v>1854833.5874000001</v>
      </c>
      <c r="BN20" s="42">
        <v>5010496.1968999999</v>
      </c>
      <c r="BO20" s="51">
        <v>-3155662.6094999998</v>
      </c>
      <c r="BP20" s="42">
        <v>1885355.3533999999</v>
      </c>
      <c r="BQ20" s="42">
        <v>5012937.9381999997</v>
      </c>
      <c r="BR20" s="51">
        <v>-3127582.5847999998</v>
      </c>
      <c r="BS20" s="42">
        <v>1914270.3609</v>
      </c>
      <c r="BT20" s="42">
        <v>5015251.1387999998</v>
      </c>
      <c r="BU20" s="51">
        <v>-3100980.7779000001</v>
      </c>
      <c r="BV20" s="42">
        <v>1942092.1370000001</v>
      </c>
      <c r="BW20" s="42">
        <v>5017476.8809000002</v>
      </c>
      <c r="BX20" s="51">
        <v>-3075384.7439000001</v>
      </c>
      <c r="BY20" s="42">
        <v>1970222.2637</v>
      </c>
      <c r="BZ20" s="42">
        <v>5019727.2910000002</v>
      </c>
      <c r="CA20" s="51">
        <v>-3049505.0273000002</v>
      </c>
      <c r="CB20" s="42">
        <v>1996568.4639999999</v>
      </c>
      <c r="CC20" s="42">
        <v>5021834.9870999996</v>
      </c>
      <c r="CD20" s="51">
        <v>-3025266.523</v>
      </c>
      <c r="CE20" s="42">
        <v>2022349.5501999999</v>
      </c>
      <c r="CF20" s="42">
        <v>5023897.4738999996</v>
      </c>
      <c r="CG20" s="51">
        <v>-3001547.9238</v>
      </c>
      <c r="CH20" s="42">
        <v>2048457.5288</v>
      </c>
      <c r="CI20" s="42">
        <v>5025986.1122000003</v>
      </c>
      <c r="CJ20" s="51">
        <v>-2977528.5835000002</v>
      </c>
      <c r="CK20" s="42">
        <v>2075054.8909</v>
      </c>
      <c r="CL20" s="42">
        <v>5028113.9012000002</v>
      </c>
      <c r="CM20" s="51">
        <v>-2953059.0103000002</v>
      </c>
      <c r="CN20" s="42">
        <v>2140215.0125365108</v>
      </c>
      <c r="CO20" s="42">
        <v>5033326.7109190468</v>
      </c>
      <c r="CP20" s="51">
        <v>-2893111.6983825359</v>
      </c>
      <c r="CQ20" s="42">
        <v>2166282.6058409289</v>
      </c>
      <c r="CR20" s="42">
        <v>5035412.1183828786</v>
      </c>
      <c r="CS20" s="51">
        <v>-2869129.5125419497</v>
      </c>
      <c r="CT20" s="42">
        <v>2193829.5420544222</v>
      </c>
      <c r="CU20" s="42">
        <v>5037615.8732778998</v>
      </c>
      <c r="CV20" s="51">
        <v>-2843786.3312234776</v>
      </c>
      <c r="CW20" s="64">
        <f t="shared" si="0"/>
        <v>53210914.495731875</v>
      </c>
      <c r="CX20" s="42">
        <f t="shared" si="1"/>
        <v>49197600.776077442</v>
      </c>
    </row>
    <row r="21" spans="1:102" x14ac:dyDescent="0.25">
      <c r="A21" t="s">
        <v>80</v>
      </c>
      <c r="B21">
        <v>2025</v>
      </c>
      <c r="C21">
        <v>2</v>
      </c>
      <c r="E21" s="42">
        <v>815816.11620000005</v>
      </c>
      <c r="F21" s="42">
        <v>2451818.4890000001</v>
      </c>
      <c r="G21" s="42">
        <v>-1636002.3728</v>
      </c>
      <c r="H21" s="51">
        <v>-2043910.4309</v>
      </c>
      <c r="I21" s="42">
        <v>861971.07479999994</v>
      </c>
      <c r="J21" s="42">
        <v>2455741.6605000002</v>
      </c>
      <c r="K21" s="42">
        <v>-1593770.5856999999</v>
      </c>
      <c r="L21" s="51">
        <v>-2024756.1231000002</v>
      </c>
      <c r="M21" s="42">
        <v>902185.299</v>
      </c>
      <c r="N21" s="42">
        <v>2459159.8695999999</v>
      </c>
      <c r="O21" s="42">
        <v>-1556974.5706</v>
      </c>
      <c r="P21" s="51">
        <v>-2008067.2200999998</v>
      </c>
      <c r="Q21" s="42">
        <v>939648.51399999997</v>
      </c>
      <c r="R21" s="42">
        <v>2462344.2428000001</v>
      </c>
      <c r="S21" s="51">
        <v>-1522695.7287999999</v>
      </c>
      <c r="T21" s="42">
        <v>979110.9314</v>
      </c>
      <c r="U21" s="42">
        <v>2465698.5482999999</v>
      </c>
      <c r="V21" s="51">
        <v>-1486587.6169</v>
      </c>
      <c r="W21" s="42">
        <v>991112.96589999995</v>
      </c>
      <c r="X21" s="42">
        <v>2466718.7212999999</v>
      </c>
      <c r="Y21" s="51">
        <v>-1475605.7553999999</v>
      </c>
      <c r="Z21" s="42">
        <v>1035955.2095999999</v>
      </c>
      <c r="AA21" s="42">
        <v>2470530.3119999999</v>
      </c>
      <c r="AB21" s="51">
        <v>-1434575.1024</v>
      </c>
      <c r="AC21" s="42">
        <v>1080560.3759999999</v>
      </c>
      <c r="AD21" s="42">
        <v>2474321.7511</v>
      </c>
      <c r="AE21" s="51">
        <v>-1393761.3751000001</v>
      </c>
      <c r="AF21" s="42">
        <v>1091317.7549999999</v>
      </c>
      <c r="AG21" s="42">
        <v>2475236.1283</v>
      </c>
      <c r="AH21" s="51">
        <v>-1383918.3733000001</v>
      </c>
      <c r="AI21" s="42">
        <v>1135640.2555</v>
      </c>
      <c r="AJ21" s="42">
        <v>2479003.5408999999</v>
      </c>
      <c r="AK21" s="51">
        <v>-1343363.2853000001</v>
      </c>
      <c r="AL21" s="42">
        <v>1146178.0086000001</v>
      </c>
      <c r="AM21" s="42">
        <v>2479899.2499000002</v>
      </c>
      <c r="AN21" s="51">
        <v>-1333721.2413000001</v>
      </c>
      <c r="AO21" s="42">
        <v>1191542.8744999999</v>
      </c>
      <c r="AP21" s="42">
        <v>2483755.2634999999</v>
      </c>
      <c r="AQ21" s="51">
        <v>-1292212.389</v>
      </c>
      <c r="AR21" s="42">
        <v>1201707.5604999999</v>
      </c>
      <c r="AS21" s="42">
        <v>2484619.2618</v>
      </c>
      <c r="AT21" s="51">
        <v>-1282911.7013000001</v>
      </c>
      <c r="AU21" s="42">
        <v>1211931.5157999999</v>
      </c>
      <c r="AV21" s="42">
        <v>2485488.298</v>
      </c>
      <c r="AW21" s="51">
        <v>-1273556.7822</v>
      </c>
      <c r="AX21" s="42">
        <v>1256981.2021000001</v>
      </c>
      <c r="AY21" s="42">
        <v>2489317.5213000001</v>
      </c>
      <c r="AZ21" s="51">
        <v>-1232336.3193000001</v>
      </c>
      <c r="BA21" s="42">
        <v>1267649.6771</v>
      </c>
      <c r="BB21" s="42">
        <v>2490224.3417000002</v>
      </c>
      <c r="BC21" s="51">
        <v>-1222574.6646</v>
      </c>
      <c r="BD21" s="42">
        <v>1314076.2379999999</v>
      </c>
      <c r="BE21" s="42">
        <v>2494170.5994000002</v>
      </c>
      <c r="BF21" s="51">
        <v>-1180094.3614000001</v>
      </c>
      <c r="BG21" s="42">
        <v>1325032.3987</v>
      </c>
      <c r="BH21" s="42">
        <v>2495101.8730000001</v>
      </c>
      <c r="BI21" s="51">
        <v>-1170069.4743999999</v>
      </c>
      <c r="BJ21" s="42">
        <v>1371089.6631</v>
      </c>
      <c r="BK21" s="42">
        <v>2499016.7404999998</v>
      </c>
      <c r="BL21" s="51">
        <v>-1127927.0774000001</v>
      </c>
      <c r="BM21" s="42">
        <v>1381076.5412000001</v>
      </c>
      <c r="BN21" s="42">
        <v>2499865.6252000001</v>
      </c>
      <c r="BO21" s="51">
        <v>-1118789.084</v>
      </c>
      <c r="BP21" s="42">
        <v>1427163.4402000001</v>
      </c>
      <c r="BQ21" s="42">
        <v>2503783.0115999999</v>
      </c>
      <c r="BR21" s="51">
        <v>-1076619.5713</v>
      </c>
      <c r="BS21" s="42">
        <v>1436512.0366</v>
      </c>
      <c r="BT21" s="42">
        <v>2504577.6422999999</v>
      </c>
      <c r="BU21" s="51">
        <v>-1068065.6057</v>
      </c>
      <c r="BV21" s="42">
        <v>1482586.7522</v>
      </c>
      <c r="BW21" s="42">
        <v>2508493.9931000001</v>
      </c>
      <c r="BX21" s="51">
        <v>-1025907.2409</v>
      </c>
      <c r="BY21" s="42">
        <v>1491121.5323000001</v>
      </c>
      <c r="BZ21" s="42">
        <v>2509219.4493999998</v>
      </c>
      <c r="CA21" s="51">
        <v>-1018097.9171</v>
      </c>
      <c r="CB21" s="42">
        <v>1535963.7759</v>
      </c>
      <c r="CC21" s="42">
        <v>2513031.0400999999</v>
      </c>
      <c r="CD21" s="51">
        <v>-977067.26419999998</v>
      </c>
      <c r="CE21" s="42">
        <v>1542750.1114000001</v>
      </c>
      <c r="CF21" s="42">
        <v>2513607.8785999999</v>
      </c>
      <c r="CG21" s="51">
        <v>-970857.7672</v>
      </c>
      <c r="CH21" s="42">
        <v>1549566.0815999999</v>
      </c>
      <c r="CI21" s="42">
        <v>2514187.2360999999</v>
      </c>
      <c r="CJ21" s="51">
        <v>-964621.15449999995</v>
      </c>
      <c r="CK21" s="42">
        <v>1556505.6041000001</v>
      </c>
      <c r="CL21" s="42">
        <v>2514777.0954999998</v>
      </c>
      <c r="CM21" s="51">
        <v>-958271.49140000006</v>
      </c>
      <c r="CN21" s="42">
        <v>1631588.2819634899</v>
      </c>
      <c r="CO21" s="42">
        <v>2521159.123126985</v>
      </c>
      <c r="CP21" s="51">
        <v>-889570.84116349509</v>
      </c>
      <c r="CQ21" s="42">
        <v>1655429.525820978</v>
      </c>
      <c r="CR21" s="42">
        <v>2523185.6288530626</v>
      </c>
      <c r="CS21" s="51">
        <v>-867756.10303208465</v>
      </c>
      <c r="CT21" s="42">
        <v>1679865.3713425174</v>
      </c>
      <c r="CU21" s="42">
        <v>2525262.6757215401</v>
      </c>
      <c r="CV21" s="51">
        <v>-845397.30437902268</v>
      </c>
      <c r="CW21" s="64">
        <f t="shared" si="0"/>
        <v>39489636.690426983</v>
      </c>
      <c r="CX21" s="42">
        <f t="shared" si="1"/>
        <v>36519785.074084468</v>
      </c>
    </row>
    <row r="22" spans="1:102" x14ac:dyDescent="0.25">
      <c r="A22" t="s">
        <v>85</v>
      </c>
      <c r="B22">
        <v>2025</v>
      </c>
      <c r="C22">
        <v>3</v>
      </c>
      <c r="D22" t="s">
        <v>347</v>
      </c>
      <c r="E22" s="42">
        <v>2535787.1845999998</v>
      </c>
      <c r="F22" s="42">
        <v>4603666.5942000002</v>
      </c>
      <c r="G22" s="42">
        <v>-2067879.4095999999</v>
      </c>
      <c r="H22" s="51">
        <v>-3335773.0019000005</v>
      </c>
      <c r="I22" s="42">
        <v>2734453.2289</v>
      </c>
      <c r="J22" s="42">
        <v>4619559.8777999999</v>
      </c>
      <c r="K22" s="42">
        <v>-1885106.6488999999</v>
      </c>
      <c r="L22" s="51">
        <v>-3252333.2633499997</v>
      </c>
      <c r="M22" s="42">
        <v>2898839.2736999998</v>
      </c>
      <c r="N22" s="42">
        <v>4632710.7614000002</v>
      </c>
      <c r="O22" s="42">
        <v>-1733871.4876999999</v>
      </c>
      <c r="P22" s="51">
        <v>-3183291.1245500003</v>
      </c>
      <c r="Q22" s="42">
        <v>3048830.5828</v>
      </c>
      <c r="R22" s="42">
        <v>4644710.0661000004</v>
      </c>
      <c r="S22" s="51">
        <v>-1595879.4833</v>
      </c>
      <c r="T22" s="42">
        <v>3189571.8064000001</v>
      </c>
      <c r="U22" s="42">
        <v>4655969.3640000001</v>
      </c>
      <c r="V22" s="51">
        <v>-1466397.5575000001</v>
      </c>
      <c r="W22" s="42">
        <v>3326743.1516999998</v>
      </c>
      <c r="X22" s="42">
        <v>4666943.0716000004</v>
      </c>
      <c r="Y22" s="51">
        <v>-1340199.9199000001</v>
      </c>
      <c r="Z22" s="42">
        <v>3456575.2659</v>
      </c>
      <c r="AA22" s="42">
        <v>4677329.6407000003</v>
      </c>
      <c r="AB22" s="51">
        <v>-1220754.3748000001</v>
      </c>
      <c r="AC22" s="42">
        <v>3579567.62</v>
      </c>
      <c r="AD22" s="42">
        <v>4687169.0290999999</v>
      </c>
      <c r="AE22" s="51">
        <v>-1107601.4091</v>
      </c>
      <c r="AF22" s="42">
        <v>3695023.5093999999</v>
      </c>
      <c r="AG22" s="42">
        <v>4696405.5001999997</v>
      </c>
      <c r="AH22" s="51">
        <v>-1001381.9908</v>
      </c>
      <c r="AI22" s="42">
        <v>3813563.0745999999</v>
      </c>
      <c r="AJ22" s="42">
        <v>4705888.6654000003</v>
      </c>
      <c r="AK22" s="51">
        <v>-892325.59080000001</v>
      </c>
      <c r="AL22" s="42">
        <v>3930172.6329999999</v>
      </c>
      <c r="AM22" s="42">
        <v>4715217.4301000005</v>
      </c>
      <c r="AN22" s="51">
        <v>-785044.79709999997</v>
      </c>
      <c r="AO22" s="42">
        <v>4052272.5652000001</v>
      </c>
      <c r="AP22" s="42">
        <v>4724985.4247000003</v>
      </c>
      <c r="AQ22" s="51">
        <v>-672712.85950000002</v>
      </c>
      <c r="AR22" s="42">
        <v>4171613.8753</v>
      </c>
      <c r="AS22" s="42">
        <v>4734532.7295000004</v>
      </c>
      <c r="AT22" s="51">
        <v>-562918.85419999994</v>
      </c>
      <c r="AU22" s="42">
        <v>4295480.3568000002</v>
      </c>
      <c r="AV22" s="42">
        <v>4744442.0480000004</v>
      </c>
      <c r="AW22" s="51">
        <v>-448961.6912</v>
      </c>
      <c r="AX22" s="42">
        <v>4419039.1475999998</v>
      </c>
      <c r="AY22" s="42">
        <v>4754326.7512999997</v>
      </c>
      <c r="AZ22" s="51">
        <v>-335287.60369999998</v>
      </c>
      <c r="BA22" s="42">
        <v>4548048.7709999997</v>
      </c>
      <c r="BB22" s="42">
        <v>4764647.5210999995</v>
      </c>
      <c r="BC22" s="51">
        <v>-216598.7501</v>
      </c>
      <c r="BD22" s="42">
        <v>4677439.4353999998</v>
      </c>
      <c r="BE22" s="42">
        <v>4774998.7742999997</v>
      </c>
      <c r="BF22" s="51">
        <v>-97559.338799999998</v>
      </c>
      <c r="BG22" s="42">
        <v>4812673.0295000002</v>
      </c>
      <c r="BH22" s="42">
        <v>4785817.4617999997</v>
      </c>
      <c r="BI22" s="51">
        <v>26855.5677</v>
      </c>
      <c r="BJ22" s="42">
        <v>4943849.4272999996</v>
      </c>
      <c r="BK22" s="42">
        <v>4796311.5735999998</v>
      </c>
      <c r="BL22" s="51">
        <v>147537.85370000001</v>
      </c>
      <c r="BM22" s="42">
        <v>5080124.5834999997</v>
      </c>
      <c r="BN22" s="42">
        <v>4807213.5861</v>
      </c>
      <c r="BO22" s="51">
        <v>272910.99739999999</v>
      </c>
      <c r="BP22" s="42">
        <v>5214272.4162999997</v>
      </c>
      <c r="BQ22" s="42">
        <v>4817945.4128</v>
      </c>
      <c r="BR22" s="51">
        <v>396327.00349999999</v>
      </c>
      <c r="BS22" s="42">
        <v>5350327.2923999997</v>
      </c>
      <c r="BT22" s="42">
        <v>4828829.8027999997</v>
      </c>
      <c r="BU22" s="51">
        <v>521497.48950000003</v>
      </c>
      <c r="BV22" s="42">
        <v>5485610.2830999997</v>
      </c>
      <c r="BW22" s="42">
        <v>4839652.4420999996</v>
      </c>
      <c r="BX22" s="51">
        <v>645957.84100000001</v>
      </c>
      <c r="BY22" s="42">
        <v>5626562.1922000004</v>
      </c>
      <c r="BZ22" s="42">
        <v>4850928.5948000001</v>
      </c>
      <c r="CA22" s="51">
        <v>775633.59739999997</v>
      </c>
      <c r="CB22" s="42">
        <v>5762818.7034</v>
      </c>
      <c r="CC22" s="42">
        <v>4861829.1157</v>
      </c>
      <c r="CD22" s="51">
        <v>900989.58770000003</v>
      </c>
      <c r="CE22" s="42">
        <v>5904600.5802999996</v>
      </c>
      <c r="CF22" s="42">
        <v>4873171.6659000004</v>
      </c>
      <c r="CG22" s="51">
        <v>1031428.9145</v>
      </c>
      <c r="CH22" s="42">
        <v>6048977.2120000003</v>
      </c>
      <c r="CI22" s="42">
        <v>4884721.7964000003</v>
      </c>
      <c r="CJ22" s="51">
        <v>1164255.4155999999</v>
      </c>
      <c r="CK22" s="42">
        <v>6196788.1607999997</v>
      </c>
      <c r="CL22" s="42">
        <v>4896546.6722999997</v>
      </c>
      <c r="CM22" s="51">
        <v>1300241.4883999999</v>
      </c>
      <c r="CN22" s="42">
        <v>6276424.2289460301</v>
      </c>
      <c r="CO22" s="42">
        <v>4902917.5577499978</v>
      </c>
      <c r="CP22" s="51">
        <v>1373506.6711960323</v>
      </c>
      <c r="CQ22" s="42">
        <v>6399709.0115168989</v>
      </c>
      <c r="CR22" s="42">
        <v>4912780.3403507918</v>
      </c>
      <c r="CS22" s="51">
        <v>1486928.6711661071</v>
      </c>
      <c r="CT22" s="42">
        <v>6526685.456666559</v>
      </c>
      <c r="CU22" s="42">
        <v>4922938.4559616223</v>
      </c>
      <c r="CV22" s="51">
        <v>1603747.0007049367</v>
      </c>
      <c r="CW22" s="64">
        <f t="shared" si="0"/>
        <v>142002444.06022948</v>
      </c>
      <c r="CX22" s="42">
        <f t="shared" si="1"/>
        <v>131391218.75996292</v>
      </c>
    </row>
    <row r="26" spans="1:102" x14ac:dyDescent="0.25">
      <c r="A26" s="23" t="s">
        <v>146</v>
      </c>
    </row>
  </sheetData>
  <autoFilter ref="A2:CL37" xr:uid="{A08480FB-AE0C-4146-821A-E9515BFD14AE}"/>
  <hyperlinks>
    <hyperlink ref="A26" location="Introdução!A1" display="Introdução!A1" xr:uid="{948B9130-3C22-4C09-B162-73FDE4A4F21B}"/>
  </hyperlinks>
  <pageMargins left="0.511811024" right="0.511811024" top="0.78740157499999996" bottom="0.78740157499999996" header="0.31496062000000002" footer="0.31496062000000002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FFA7-F148-4784-85D4-F7883D2F4553}">
  <sheetPr>
    <tabColor rgb="FF92D050"/>
  </sheetPr>
  <dimension ref="A1:CW41"/>
  <sheetViews>
    <sheetView workbookViewId="0">
      <selection activeCell="C6" sqref="C6"/>
    </sheetView>
  </sheetViews>
  <sheetFormatPr defaultColWidth="8.85546875" defaultRowHeight="15" x14ac:dyDescent="0.25"/>
  <cols>
    <col min="1" max="1" width="7.5703125" bestFit="1" customWidth="1"/>
    <col min="2" max="2" width="14.28515625" bestFit="1" customWidth="1"/>
    <col min="3" max="3" width="8" bestFit="1" customWidth="1"/>
    <col min="4" max="4" width="9.42578125" customWidth="1"/>
    <col min="5" max="6" width="11.7109375" bestFit="1" customWidth="1"/>
    <col min="7" max="7" width="12.42578125" bestFit="1" customWidth="1"/>
    <col min="8" max="8" width="27.5703125" bestFit="1" customWidth="1"/>
    <col min="9" max="10" width="11.7109375" bestFit="1" customWidth="1"/>
    <col min="11" max="11" width="12.42578125" bestFit="1" customWidth="1"/>
    <col min="12" max="12" width="27.5703125" bestFit="1" customWidth="1"/>
    <col min="13" max="14" width="11.7109375" bestFit="1" customWidth="1"/>
    <col min="15" max="15" width="12.42578125" bestFit="1" customWidth="1"/>
    <col min="16" max="16" width="27.5703125" bestFit="1" customWidth="1"/>
    <col min="17" max="18" width="11.7109375" bestFit="1" customWidth="1"/>
    <col min="19" max="19" width="12.42578125" bestFit="1" customWidth="1"/>
    <col min="20" max="21" width="11.7109375" bestFit="1" customWidth="1"/>
    <col min="22" max="22" width="12.42578125" bestFit="1" customWidth="1"/>
    <col min="23" max="24" width="11.7109375" bestFit="1" customWidth="1"/>
    <col min="25" max="25" width="12.42578125" bestFit="1" customWidth="1"/>
    <col min="26" max="27" width="11.7109375" bestFit="1" customWidth="1"/>
    <col min="28" max="28" width="12.42578125" bestFit="1" customWidth="1"/>
    <col min="29" max="30" width="11.7109375" bestFit="1" customWidth="1"/>
    <col min="31" max="31" width="12.42578125" bestFit="1" customWidth="1"/>
    <col min="32" max="33" width="11.7109375" bestFit="1" customWidth="1"/>
    <col min="34" max="34" width="12.42578125" bestFit="1" customWidth="1"/>
    <col min="35" max="35" width="12.7109375" bestFit="1" customWidth="1"/>
    <col min="36" max="36" width="11.7109375" bestFit="1" customWidth="1"/>
    <col min="37" max="37" width="12.42578125" bestFit="1" customWidth="1"/>
    <col min="38" max="38" width="12.7109375" bestFit="1" customWidth="1"/>
    <col min="39" max="39" width="11.7109375" bestFit="1" customWidth="1"/>
    <col min="40" max="40" width="12.42578125" bestFit="1" customWidth="1"/>
    <col min="41" max="41" width="12.7109375" bestFit="1" customWidth="1"/>
    <col min="42" max="42" width="11.7109375" bestFit="1" customWidth="1"/>
    <col min="43" max="43" width="12.42578125" bestFit="1" customWidth="1"/>
    <col min="44" max="44" width="12.7109375" bestFit="1" customWidth="1"/>
    <col min="45" max="45" width="11.7109375" bestFit="1" customWidth="1"/>
    <col min="46" max="46" width="12.42578125" bestFit="1" customWidth="1"/>
    <col min="47" max="47" width="12.7109375" bestFit="1" customWidth="1"/>
    <col min="48" max="48" width="11.7109375" bestFit="1" customWidth="1"/>
    <col min="49" max="49" width="12.42578125" bestFit="1" customWidth="1"/>
    <col min="50" max="50" width="12.7109375" bestFit="1" customWidth="1"/>
    <col min="51" max="51" width="11.7109375" bestFit="1" customWidth="1"/>
    <col min="52" max="52" width="12.42578125" bestFit="1" customWidth="1"/>
    <col min="53" max="53" width="12.7109375" bestFit="1" customWidth="1"/>
    <col min="54" max="54" width="11.7109375" bestFit="1" customWidth="1"/>
    <col min="55" max="55" width="12.42578125" bestFit="1" customWidth="1"/>
    <col min="56" max="56" width="12.7109375" bestFit="1" customWidth="1"/>
    <col min="57" max="57" width="11.7109375" bestFit="1" customWidth="1"/>
    <col min="58" max="58" width="12.42578125" bestFit="1" customWidth="1"/>
    <col min="59" max="59" width="12.7109375" bestFit="1" customWidth="1"/>
    <col min="60" max="60" width="11.7109375" bestFit="1" customWidth="1"/>
    <col min="61" max="61" width="12.42578125" bestFit="1" customWidth="1"/>
    <col min="62" max="62" width="12.7109375" bestFit="1" customWidth="1"/>
    <col min="63" max="63" width="11.7109375" bestFit="1" customWidth="1"/>
    <col min="64" max="64" width="12.42578125" bestFit="1" customWidth="1"/>
    <col min="65" max="65" width="12.7109375" bestFit="1" customWidth="1"/>
    <col min="66" max="66" width="11.7109375" bestFit="1" customWidth="1"/>
    <col min="67" max="67" width="12.42578125" bestFit="1" customWidth="1"/>
    <col min="68" max="68" width="12.7109375" bestFit="1" customWidth="1"/>
    <col min="69" max="69" width="11.7109375" bestFit="1" customWidth="1"/>
    <col min="70" max="70" width="12.42578125" bestFit="1" customWidth="1"/>
    <col min="71" max="71" width="12.7109375" bestFit="1" customWidth="1"/>
    <col min="72" max="72" width="11.7109375" bestFit="1" customWidth="1"/>
    <col min="73" max="73" width="12.42578125" bestFit="1" customWidth="1"/>
    <col min="74" max="74" width="12.7109375" bestFit="1" customWidth="1"/>
    <col min="75" max="75" width="11.7109375" bestFit="1" customWidth="1"/>
    <col min="76" max="76" width="12.42578125" bestFit="1" customWidth="1"/>
    <col min="77" max="77" width="12.7109375" bestFit="1" customWidth="1"/>
    <col min="78" max="78" width="11.7109375" bestFit="1" customWidth="1"/>
    <col min="79" max="79" width="12.42578125" bestFit="1" customWidth="1"/>
    <col min="80" max="80" width="12.7109375" bestFit="1" customWidth="1"/>
    <col min="81" max="81" width="11.7109375" bestFit="1" customWidth="1"/>
    <col min="82" max="82" width="12.42578125" bestFit="1" customWidth="1"/>
    <col min="83" max="83" width="12.7109375" bestFit="1" customWidth="1"/>
    <col min="84" max="84" width="11.7109375" bestFit="1" customWidth="1"/>
    <col min="85" max="85" width="12.42578125" bestFit="1" customWidth="1"/>
    <col min="86" max="86" width="12.7109375" bestFit="1" customWidth="1"/>
    <col min="87" max="87" width="11.7109375" bestFit="1" customWidth="1"/>
    <col min="88" max="88" width="12.42578125" bestFit="1" customWidth="1"/>
    <col min="89" max="89" width="12.7109375" bestFit="1" customWidth="1"/>
    <col min="90" max="90" width="11.7109375" bestFit="1" customWidth="1"/>
    <col min="91" max="91" width="12.42578125" bestFit="1" customWidth="1"/>
    <col min="92" max="92" width="12.7109375" bestFit="1" customWidth="1"/>
    <col min="93" max="93" width="11.7109375" bestFit="1" customWidth="1"/>
    <col min="94" max="94" width="12.42578125" bestFit="1" customWidth="1"/>
    <col min="95" max="95" width="12.7109375" bestFit="1" customWidth="1"/>
    <col min="96" max="96" width="11.7109375" bestFit="1" customWidth="1"/>
    <col min="97" max="97" width="12.42578125" bestFit="1" customWidth="1"/>
    <col min="98" max="98" width="12.7109375" bestFit="1" customWidth="1"/>
    <col min="99" max="99" width="11.7109375" bestFit="1" customWidth="1"/>
    <col min="100" max="100" width="12.42578125" bestFit="1" customWidth="1"/>
    <col min="101" max="101" width="14.7109375" bestFit="1" customWidth="1"/>
  </cols>
  <sheetData>
    <row r="1" spans="1:101" x14ac:dyDescent="0.25">
      <c r="E1">
        <v>2025</v>
      </c>
      <c r="F1">
        <v>2025</v>
      </c>
      <c r="G1">
        <v>2025</v>
      </c>
      <c r="H1">
        <v>2025</v>
      </c>
      <c r="I1">
        <v>2026</v>
      </c>
      <c r="J1">
        <v>2026</v>
      </c>
      <c r="K1">
        <v>2026</v>
      </c>
      <c r="L1">
        <v>2026</v>
      </c>
      <c r="M1">
        <v>2027</v>
      </c>
      <c r="N1">
        <v>2027</v>
      </c>
      <c r="O1">
        <v>2027</v>
      </c>
      <c r="P1">
        <v>2027</v>
      </c>
      <c r="Q1">
        <v>2028</v>
      </c>
      <c r="R1">
        <v>2028</v>
      </c>
      <c r="S1">
        <v>2028</v>
      </c>
      <c r="T1">
        <v>2029</v>
      </c>
      <c r="U1">
        <v>2029</v>
      </c>
      <c r="V1">
        <v>2029</v>
      </c>
      <c r="W1">
        <v>2030</v>
      </c>
      <c r="X1">
        <v>2030</v>
      </c>
      <c r="Y1">
        <v>2030</v>
      </c>
      <c r="Z1">
        <v>2031</v>
      </c>
      <c r="AA1">
        <v>2031</v>
      </c>
      <c r="AB1">
        <v>2031</v>
      </c>
      <c r="AC1">
        <v>2032</v>
      </c>
      <c r="AD1">
        <v>2032</v>
      </c>
      <c r="AE1">
        <v>2032</v>
      </c>
      <c r="AF1">
        <v>2033</v>
      </c>
      <c r="AG1">
        <v>2033</v>
      </c>
      <c r="AH1">
        <v>2033</v>
      </c>
      <c r="AI1">
        <v>2034</v>
      </c>
      <c r="AJ1">
        <v>2034</v>
      </c>
      <c r="AK1">
        <v>2034</v>
      </c>
      <c r="AL1">
        <v>2035</v>
      </c>
      <c r="AM1">
        <v>2035</v>
      </c>
      <c r="AN1">
        <v>2035</v>
      </c>
      <c r="AO1">
        <v>2036</v>
      </c>
      <c r="AP1">
        <v>2036</v>
      </c>
      <c r="AQ1">
        <v>2036</v>
      </c>
      <c r="AR1">
        <v>2037</v>
      </c>
      <c r="AS1">
        <v>2037</v>
      </c>
      <c r="AT1">
        <v>2037</v>
      </c>
      <c r="AU1">
        <v>2038</v>
      </c>
      <c r="AV1">
        <v>2038</v>
      </c>
      <c r="AW1">
        <v>2038</v>
      </c>
      <c r="AX1">
        <v>2039</v>
      </c>
      <c r="AY1">
        <v>2039</v>
      </c>
      <c r="AZ1">
        <v>2039</v>
      </c>
      <c r="BA1">
        <v>2040</v>
      </c>
      <c r="BB1">
        <v>2040</v>
      </c>
      <c r="BC1">
        <v>2040</v>
      </c>
      <c r="BD1">
        <v>2041</v>
      </c>
      <c r="BE1">
        <v>2041</v>
      </c>
      <c r="BF1">
        <v>2041</v>
      </c>
      <c r="BG1">
        <v>2042</v>
      </c>
      <c r="BH1">
        <v>2042</v>
      </c>
      <c r="BI1">
        <v>2042</v>
      </c>
      <c r="BJ1">
        <v>2043</v>
      </c>
      <c r="BK1">
        <v>2043</v>
      </c>
      <c r="BL1">
        <v>2043</v>
      </c>
      <c r="BM1">
        <v>2044</v>
      </c>
      <c r="BN1">
        <v>2044</v>
      </c>
      <c r="BO1">
        <v>2044</v>
      </c>
      <c r="BP1">
        <v>2045</v>
      </c>
      <c r="BQ1">
        <v>2045</v>
      </c>
      <c r="BR1">
        <v>2045</v>
      </c>
      <c r="BS1">
        <v>2046</v>
      </c>
      <c r="BT1">
        <v>2046</v>
      </c>
      <c r="BU1">
        <v>2046</v>
      </c>
      <c r="BV1">
        <v>2047</v>
      </c>
      <c r="BW1">
        <v>2047</v>
      </c>
      <c r="BX1">
        <v>2047</v>
      </c>
      <c r="BY1">
        <v>2048</v>
      </c>
      <c r="BZ1">
        <v>2048</v>
      </c>
      <c r="CA1">
        <v>2048</v>
      </c>
      <c r="CB1">
        <v>2049</v>
      </c>
      <c r="CC1">
        <v>2049</v>
      </c>
      <c r="CD1">
        <v>2049</v>
      </c>
      <c r="CE1">
        <v>2050</v>
      </c>
      <c r="CF1">
        <v>2050</v>
      </c>
      <c r="CG1">
        <v>2050</v>
      </c>
      <c r="CH1">
        <v>2051</v>
      </c>
      <c r="CI1">
        <v>2051</v>
      </c>
      <c r="CJ1">
        <v>2051</v>
      </c>
      <c r="CK1">
        <v>2052</v>
      </c>
      <c r="CL1">
        <v>2052</v>
      </c>
      <c r="CM1">
        <v>2052</v>
      </c>
      <c r="CN1">
        <v>2053</v>
      </c>
      <c r="CO1">
        <v>2053</v>
      </c>
      <c r="CP1">
        <v>2053</v>
      </c>
      <c r="CQ1">
        <v>2054</v>
      </c>
      <c r="CR1">
        <v>2054</v>
      </c>
      <c r="CS1">
        <v>2054</v>
      </c>
      <c r="CT1">
        <v>2055</v>
      </c>
      <c r="CU1">
        <v>2055</v>
      </c>
      <c r="CV1">
        <v>2055</v>
      </c>
    </row>
    <row r="2" spans="1:101" x14ac:dyDescent="0.25">
      <c r="A2" t="s">
        <v>0</v>
      </c>
      <c r="B2" t="s">
        <v>228</v>
      </c>
      <c r="C2" t="s">
        <v>229</v>
      </c>
      <c r="D2" t="s">
        <v>346</v>
      </c>
      <c r="E2" t="s">
        <v>103</v>
      </c>
      <c r="F2" t="s">
        <v>104</v>
      </c>
      <c r="G2" t="s">
        <v>105</v>
      </c>
      <c r="H2" s="50" t="s">
        <v>230</v>
      </c>
      <c r="I2" t="s">
        <v>103</v>
      </c>
      <c r="J2" t="s">
        <v>104</v>
      </c>
      <c r="K2" t="s">
        <v>105</v>
      </c>
      <c r="L2" s="50" t="s">
        <v>230</v>
      </c>
      <c r="M2" t="s">
        <v>103</v>
      </c>
      <c r="N2" t="s">
        <v>104</v>
      </c>
      <c r="O2" t="s">
        <v>105</v>
      </c>
      <c r="P2" s="50" t="s">
        <v>230</v>
      </c>
      <c r="Q2" t="s">
        <v>103</v>
      </c>
      <c r="R2" t="s">
        <v>104</v>
      </c>
      <c r="S2" t="s">
        <v>105</v>
      </c>
      <c r="T2" t="s">
        <v>103</v>
      </c>
      <c r="U2" t="s">
        <v>104</v>
      </c>
      <c r="V2" t="s">
        <v>105</v>
      </c>
      <c r="W2" t="s">
        <v>103</v>
      </c>
      <c r="X2" t="s">
        <v>104</v>
      </c>
      <c r="Y2" t="s">
        <v>105</v>
      </c>
      <c r="Z2" t="s">
        <v>103</v>
      </c>
      <c r="AA2" t="s">
        <v>104</v>
      </c>
      <c r="AB2" t="s">
        <v>105</v>
      </c>
      <c r="AC2" t="s">
        <v>103</v>
      </c>
      <c r="AD2" t="s">
        <v>104</v>
      </c>
      <c r="AE2" t="s">
        <v>105</v>
      </c>
      <c r="AF2" t="s">
        <v>103</v>
      </c>
      <c r="AG2" t="s">
        <v>104</v>
      </c>
      <c r="AH2" t="s">
        <v>105</v>
      </c>
      <c r="AI2" t="s">
        <v>103</v>
      </c>
      <c r="AJ2" t="s">
        <v>104</v>
      </c>
      <c r="AK2" t="s">
        <v>105</v>
      </c>
      <c r="AL2" t="s">
        <v>103</v>
      </c>
      <c r="AM2" t="s">
        <v>104</v>
      </c>
      <c r="AN2" t="s">
        <v>105</v>
      </c>
      <c r="AO2" t="s">
        <v>103</v>
      </c>
      <c r="AP2" t="s">
        <v>104</v>
      </c>
      <c r="AQ2" t="s">
        <v>105</v>
      </c>
      <c r="AR2" t="s">
        <v>103</v>
      </c>
      <c r="AS2" t="s">
        <v>104</v>
      </c>
      <c r="AT2" t="s">
        <v>105</v>
      </c>
      <c r="AU2" t="s">
        <v>103</v>
      </c>
      <c r="AV2" t="s">
        <v>104</v>
      </c>
      <c r="AW2" t="s">
        <v>105</v>
      </c>
      <c r="AX2" t="s">
        <v>103</v>
      </c>
      <c r="AY2" t="s">
        <v>104</v>
      </c>
      <c r="AZ2" t="s">
        <v>105</v>
      </c>
      <c r="BA2" t="s">
        <v>103</v>
      </c>
      <c r="BB2" t="s">
        <v>104</v>
      </c>
      <c r="BC2" t="s">
        <v>105</v>
      </c>
      <c r="BD2" t="s">
        <v>103</v>
      </c>
      <c r="BE2" t="s">
        <v>104</v>
      </c>
      <c r="BF2" t="s">
        <v>105</v>
      </c>
      <c r="BG2" t="s">
        <v>103</v>
      </c>
      <c r="BH2" t="s">
        <v>104</v>
      </c>
      <c r="BI2" t="s">
        <v>105</v>
      </c>
      <c r="BJ2" t="s">
        <v>103</v>
      </c>
      <c r="BK2" t="s">
        <v>104</v>
      </c>
      <c r="BL2" t="s">
        <v>105</v>
      </c>
      <c r="BM2" t="s">
        <v>103</v>
      </c>
      <c r="BN2" t="s">
        <v>104</v>
      </c>
      <c r="BO2" t="s">
        <v>105</v>
      </c>
      <c r="BP2" t="s">
        <v>103</v>
      </c>
      <c r="BQ2" t="s">
        <v>104</v>
      </c>
      <c r="BR2" t="s">
        <v>105</v>
      </c>
      <c r="BS2" t="s">
        <v>103</v>
      </c>
      <c r="BT2" t="s">
        <v>104</v>
      </c>
      <c r="BU2" t="s">
        <v>105</v>
      </c>
      <c r="BV2" t="s">
        <v>103</v>
      </c>
      <c r="BW2" t="s">
        <v>104</v>
      </c>
      <c r="BX2" t="s">
        <v>105</v>
      </c>
      <c r="BY2" t="s">
        <v>103</v>
      </c>
      <c r="BZ2" t="s">
        <v>104</v>
      </c>
      <c r="CA2" t="s">
        <v>105</v>
      </c>
      <c r="CB2" t="s">
        <v>103</v>
      </c>
      <c r="CC2" t="s">
        <v>104</v>
      </c>
      <c r="CD2" t="s">
        <v>105</v>
      </c>
      <c r="CE2" t="s">
        <v>103</v>
      </c>
      <c r="CF2" t="s">
        <v>104</v>
      </c>
      <c r="CG2" t="s">
        <v>105</v>
      </c>
      <c r="CH2" t="s">
        <v>103</v>
      </c>
      <c r="CI2" t="s">
        <v>104</v>
      </c>
      <c r="CJ2" t="s">
        <v>105</v>
      </c>
      <c r="CK2" t="s">
        <v>103</v>
      </c>
      <c r="CL2" t="s">
        <v>104</v>
      </c>
      <c r="CM2" t="s">
        <v>105</v>
      </c>
      <c r="CN2" t="s">
        <v>103</v>
      </c>
      <c r="CO2" t="s">
        <v>104</v>
      </c>
      <c r="CP2" t="s">
        <v>105</v>
      </c>
      <c r="CQ2" t="s">
        <v>103</v>
      </c>
      <c r="CR2" t="s">
        <v>104</v>
      </c>
      <c r="CS2" t="s">
        <v>105</v>
      </c>
      <c r="CT2" t="s">
        <v>103</v>
      </c>
      <c r="CU2" t="s">
        <v>104</v>
      </c>
      <c r="CV2" t="s">
        <v>105</v>
      </c>
      <c r="CW2" s="32" t="s">
        <v>121</v>
      </c>
    </row>
    <row r="3" spans="1:101" x14ac:dyDescent="0.25">
      <c r="A3" t="s">
        <v>317</v>
      </c>
      <c r="B3">
        <v>2025</v>
      </c>
      <c r="C3" s="62">
        <v>3</v>
      </c>
      <c r="D3" t="s">
        <v>347</v>
      </c>
      <c r="E3" s="42">
        <v>790928.49690000003</v>
      </c>
      <c r="F3" s="42">
        <v>5743125.3203999996</v>
      </c>
      <c r="G3" s="42">
        <v>-4952196.8234999999</v>
      </c>
      <c r="H3" s="51">
        <v>-5347661.0719499998</v>
      </c>
      <c r="I3" s="42">
        <v>836970.25800000003</v>
      </c>
      <c r="J3" s="42">
        <v>5747038.8700000001</v>
      </c>
      <c r="K3" s="42">
        <v>-4910068.6120999996</v>
      </c>
      <c r="L3" s="51">
        <v>-5328553.7410000004</v>
      </c>
      <c r="M3" s="42">
        <v>875802.19669999997</v>
      </c>
      <c r="N3" s="42">
        <v>5750339.5848000003</v>
      </c>
      <c r="O3" s="42">
        <v>-4874537.3881999999</v>
      </c>
      <c r="P3" s="51">
        <v>-5312438.4864500007</v>
      </c>
      <c r="Q3" s="42">
        <v>911798.01520000002</v>
      </c>
      <c r="R3" s="42">
        <v>5753399.2293999996</v>
      </c>
      <c r="S3" s="51">
        <v>-4841601.2142000003</v>
      </c>
      <c r="T3" s="42">
        <v>945240.03830000001</v>
      </c>
      <c r="U3" s="42">
        <v>5756241.8014000002</v>
      </c>
      <c r="V3" s="51">
        <v>-4811001.7631000001</v>
      </c>
      <c r="W3" s="42">
        <v>977300.10919999995</v>
      </c>
      <c r="X3" s="42">
        <v>5758966.9073999999</v>
      </c>
      <c r="Y3" s="51">
        <v>-4781666.7982000001</v>
      </c>
      <c r="Z3" s="42">
        <v>1007326.6091</v>
      </c>
      <c r="AA3" s="42">
        <v>5761519.1599000003</v>
      </c>
      <c r="AB3" s="51">
        <v>-4754192.5508000003</v>
      </c>
      <c r="AC3" s="42">
        <v>1034930.1359</v>
      </c>
      <c r="AD3" s="42">
        <v>5763865.4596999995</v>
      </c>
      <c r="AE3" s="51">
        <v>-4728935.3238000004</v>
      </c>
      <c r="AF3" s="42">
        <v>1060489.5471999999</v>
      </c>
      <c r="AG3" s="42">
        <v>5766038.0096000005</v>
      </c>
      <c r="AH3" s="51">
        <v>-4705548.4623999996</v>
      </c>
      <c r="AI3" s="42">
        <v>1085876.9401</v>
      </c>
      <c r="AJ3" s="42">
        <v>5768195.9380000001</v>
      </c>
      <c r="AK3" s="51">
        <v>-4682318.9978999998</v>
      </c>
      <c r="AL3" s="42">
        <v>1111116.5907000001</v>
      </c>
      <c r="AM3" s="42">
        <v>5770341.3082999997</v>
      </c>
      <c r="AN3" s="51">
        <v>-4659224.7176999999</v>
      </c>
      <c r="AO3" s="42">
        <v>1136794.1958000001</v>
      </c>
      <c r="AP3" s="42">
        <v>5772523.9047999997</v>
      </c>
      <c r="AQ3" s="51">
        <v>-4635729.7089</v>
      </c>
      <c r="AR3" s="42">
        <v>1162092.9432999999</v>
      </c>
      <c r="AS3" s="42">
        <v>5774674.2982999999</v>
      </c>
      <c r="AT3" s="51">
        <v>-4612581.3550000004</v>
      </c>
      <c r="AU3" s="42">
        <v>1187534.1609</v>
      </c>
      <c r="AV3" s="42">
        <v>5776836.8017999995</v>
      </c>
      <c r="AW3" s="51">
        <v>-4589302.6409</v>
      </c>
      <c r="AX3" s="42">
        <v>1213069.2960000001</v>
      </c>
      <c r="AY3" s="42">
        <v>5779007.2883000001</v>
      </c>
      <c r="AZ3" s="51">
        <v>-4565937.9923</v>
      </c>
      <c r="BA3" s="42">
        <v>1239254.4971</v>
      </c>
      <c r="BB3" s="42">
        <v>5781233.0303999996</v>
      </c>
      <c r="BC3" s="51">
        <v>-4541978.5333000002</v>
      </c>
      <c r="BD3" s="42">
        <v>1265916.6810000001</v>
      </c>
      <c r="BE3" s="42">
        <v>5783499.3159999996</v>
      </c>
      <c r="BF3" s="51">
        <v>-4517582.6349999998</v>
      </c>
      <c r="BG3" s="42">
        <v>1292811.0449000001</v>
      </c>
      <c r="BH3" s="42">
        <v>5785785.3369000005</v>
      </c>
      <c r="BI3" s="51">
        <v>-4492974.2920000004</v>
      </c>
      <c r="BJ3" s="42">
        <v>1318937.1491</v>
      </c>
      <c r="BK3" s="42">
        <v>5788006.0558000002</v>
      </c>
      <c r="BL3" s="51">
        <v>-4469068.9067000002</v>
      </c>
      <c r="BM3" s="42">
        <v>1345294.3687</v>
      </c>
      <c r="BN3" s="42">
        <v>5790246.4194999998</v>
      </c>
      <c r="BO3" s="51">
        <v>-4444952.0508000003</v>
      </c>
      <c r="BP3" s="42">
        <v>1371568.2150999999</v>
      </c>
      <c r="BQ3" s="42">
        <v>5792479.6963999998</v>
      </c>
      <c r="BR3" s="51">
        <v>-4420911.4813000001</v>
      </c>
      <c r="BS3" s="42">
        <v>1397748.1439</v>
      </c>
      <c r="BT3" s="42">
        <v>5794704.9903999995</v>
      </c>
      <c r="BU3" s="51">
        <v>-4396956.8464000002</v>
      </c>
      <c r="BV3" s="42">
        <v>1423696.9574</v>
      </c>
      <c r="BW3" s="42">
        <v>5796910.6394999996</v>
      </c>
      <c r="BX3" s="51">
        <v>-4373213.6820999999</v>
      </c>
      <c r="BY3" s="42">
        <v>1449763.9646000001</v>
      </c>
      <c r="BZ3" s="42">
        <v>5799126.3350999998</v>
      </c>
      <c r="CA3" s="51">
        <v>-4349362.3705000002</v>
      </c>
      <c r="CB3" s="42">
        <v>1474850.6007999999</v>
      </c>
      <c r="CC3" s="42">
        <v>5801258.6991999997</v>
      </c>
      <c r="CD3" s="51">
        <v>-4326408.0983999996</v>
      </c>
      <c r="CE3" s="42">
        <v>1500090.2514</v>
      </c>
      <c r="CF3" s="42">
        <v>5803404.0695000002</v>
      </c>
      <c r="CG3" s="51">
        <v>-4303313.8180999998</v>
      </c>
      <c r="CH3" s="42">
        <v>1525743.5803</v>
      </c>
      <c r="CI3" s="42">
        <v>5805584.6024000002</v>
      </c>
      <c r="CJ3" s="51">
        <v>-4279841.0221999995</v>
      </c>
      <c r="CK3" s="42">
        <v>1551775.7668999999</v>
      </c>
      <c r="CL3" s="42">
        <v>5807797.3382999999</v>
      </c>
      <c r="CM3" s="51">
        <v>-4256021.5713999998</v>
      </c>
      <c r="CN3" s="42">
        <v>1588133.4646182507</v>
      </c>
      <c r="CO3" s="42">
        <v>5810887.7426166655</v>
      </c>
      <c r="CP3" s="51">
        <v>-4222754.2779984148</v>
      </c>
      <c r="CQ3" s="42">
        <v>1611950.6596787944</v>
      </c>
      <c r="CR3" s="42">
        <v>5812912.2042007921</v>
      </c>
      <c r="CS3" s="51">
        <v>-4200961.5445219977</v>
      </c>
      <c r="CT3" s="42">
        <v>1636497.395647049</v>
      </c>
      <c r="CU3" s="42">
        <v>5814998.6767555363</v>
      </c>
      <c r="CV3" s="51">
        <v>-4178501.2811084874</v>
      </c>
      <c r="CW3" s="64">
        <f>SUM(H3,L3,P3,S3,V3,Y3,AB3,AE3,AH3,AK3,AN3,AQ3,AT3,AW3,AZ3,BC3,BF3,BI3,BL3,BO3,BR3,BU3,BX3,CA3,CD3,CG3,CJ3,CM3,CP3,CS3,CV3)</f>
        <v>-142131497.23642889</v>
      </c>
    </row>
    <row r="4" spans="1:101" x14ac:dyDescent="0.25">
      <c r="A4" t="s">
        <v>47</v>
      </c>
      <c r="B4">
        <v>2025</v>
      </c>
      <c r="C4">
        <v>3</v>
      </c>
      <c r="E4" s="42">
        <v>2302810.6699000001</v>
      </c>
      <c r="F4" s="42">
        <v>4209047.5903000003</v>
      </c>
      <c r="G4" s="42">
        <v>-1906236.9203999999</v>
      </c>
      <c r="H4" s="51">
        <v>-3057642.2553500002</v>
      </c>
      <c r="I4" s="42">
        <v>2597413.8949000002</v>
      </c>
      <c r="J4" s="42">
        <v>4232615.8482999997</v>
      </c>
      <c r="K4" s="42">
        <v>-1635201.9534</v>
      </c>
      <c r="L4" s="51">
        <v>-2933908.9008499999</v>
      </c>
      <c r="M4" s="42">
        <v>2790999.5654000002</v>
      </c>
      <c r="N4" s="42">
        <v>4248102.7019999996</v>
      </c>
      <c r="O4" s="42">
        <v>-1457103.1366000001</v>
      </c>
      <c r="P4" s="51">
        <v>-2852602.9192999993</v>
      </c>
      <c r="Q4" s="42">
        <v>2947557.3177</v>
      </c>
      <c r="R4" s="42">
        <v>4260627.3221000005</v>
      </c>
      <c r="S4" s="51">
        <v>-1313070.0045</v>
      </c>
      <c r="T4" s="42">
        <v>3078180.7744999998</v>
      </c>
      <c r="U4" s="42">
        <v>4271077.1986999996</v>
      </c>
      <c r="V4" s="51">
        <v>-1192896.4242</v>
      </c>
      <c r="W4" s="42">
        <v>3215433.2622000002</v>
      </c>
      <c r="X4" s="42">
        <v>4282057.3976999996</v>
      </c>
      <c r="Y4" s="51">
        <v>-1066624.1355000001</v>
      </c>
      <c r="Z4" s="42">
        <v>3334360.7587000001</v>
      </c>
      <c r="AA4" s="42">
        <v>4291571.5974000003</v>
      </c>
      <c r="AB4" s="51">
        <v>-957210.83869999996</v>
      </c>
      <c r="AC4" s="42">
        <v>3457535.4685</v>
      </c>
      <c r="AD4" s="42">
        <v>4301425.5741999997</v>
      </c>
      <c r="AE4" s="51">
        <v>-843890.10569999996</v>
      </c>
      <c r="AF4" s="42">
        <v>3561323.7711999998</v>
      </c>
      <c r="AG4" s="42">
        <v>4309728.6383999996</v>
      </c>
      <c r="AH4" s="51">
        <v>-748404.86719999998</v>
      </c>
      <c r="AI4" s="42">
        <v>3677576.0622999999</v>
      </c>
      <c r="AJ4" s="42">
        <v>4319028.8217000002</v>
      </c>
      <c r="AK4" s="51">
        <v>-641452.75939999998</v>
      </c>
      <c r="AL4" s="42">
        <v>3780066.7489</v>
      </c>
      <c r="AM4" s="42">
        <v>4327228.0766000003</v>
      </c>
      <c r="AN4" s="51">
        <v>-547161.32770000002</v>
      </c>
      <c r="AO4" s="42">
        <v>3901334.5493000001</v>
      </c>
      <c r="AP4" s="42">
        <v>4336929.5006999997</v>
      </c>
      <c r="AQ4" s="51">
        <v>-435594.95140000002</v>
      </c>
      <c r="AR4" s="42">
        <v>4005424.2746000001</v>
      </c>
      <c r="AS4" s="42">
        <v>4345256.6787</v>
      </c>
      <c r="AT4" s="51">
        <v>-339832.40409999999</v>
      </c>
      <c r="AU4" s="42">
        <v>4125968.4794999999</v>
      </c>
      <c r="AV4" s="42">
        <v>4354900.2150999997</v>
      </c>
      <c r="AW4" s="51">
        <v>-228931.73560000001</v>
      </c>
      <c r="AX4" s="42">
        <v>4230135.9305999996</v>
      </c>
      <c r="AY4" s="42">
        <v>4363233.6112000002</v>
      </c>
      <c r="AZ4" s="51">
        <v>-133097.68059999999</v>
      </c>
      <c r="BA4" s="42">
        <v>4354792.6357000005</v>
      </c>
      <c r="BB4" s="42">
        <v>4373206.1475999998</v>
      </c>
      <c r="BC4" s="51">
        <v>-18413.5118</v>
      </c>
      <c r="BD4" s="42">
        <v>4458535.4797999999</v>
      </c>
      <c r="BE4" s="42">
        <v>4381505.5751</v>
      </c>
      <c r="BF4" s="51">
        <v>77029.904699999999</v>
      </c>
      <c r="BG4" s="42">
        <v>4583706.4020999996</v>
      </c>
      <c r="BH4" s="42">
        <v>4391519.2489</v>
      </c>
      <c r="BI4" s="51">
        <v>192187.1532</v>
      </c>
      <c r="BJ4" s="42">
        <v>4691234.3455999997</v>
      </c>
      <c r="BK4" s="42">
        <v>4400121.4844000004</v>
      </c>
      <c r="BL4" s="51">
        <v>291112.86129999999</v>
      </c>
      <c r="BM4" s="42">
        <v>4817538.0559</v>
      </c>
      <c r="BN4" s="42">
        <v>4410225.7812000001</v>
      </c>
      <c r="BO4" s="51">
        <v>407312.27470000001</v>
      </c>
      <c r="BP4" s="42">
        <v>4928582.2065000003</v>
      </c>
      <c r="BQ4" s="42">
        <v>4419109.3132999996</v>
      </c>
      <c r="BR4" s="51">
        <v>509472.8933</v>
      </c>
      <c r="BS4" s="42">
        <v>5042772.7037000004</v>
      </c>
      <c r="BT4" s="42">
        <v>4428244.5530000003</v>
      </c>
      <c r="BU4" s="51">
        <v>614528.1507</v>
      </c>
      <c r="BV4" s="42">
        <v>5140717.1326000001</v>
      </c>
      <c r="BW4" s="42">
        <v>4436080.1073000003</v>
      </c>
      <c r="BX4" s="51">
        <v>704637.02520000003</v>
      </c>
      <c r="BY4" s="42">
        <v>5259561.9705999997</v>
      </c>
      <c r="BZ4" s="42">
        <v>4445587.6944000004</v>
      </c>
      <c r="CA4" s="51">
        <v>813974.27619999996</v>
      </c>
      <c r="CB4" s="42">
        <v>5355384.3591999998</v>
      </c>
      <c r="CC4" s="42">
        <v>4453253.4855000004</v>
      </c>
      <c r="CD4" s="51">
        <v>902130.8737</v>
      </c>
      <c r="CE4" s="42">
        <v>5471559.3187999995</v>
      </c>
      <c r="CF4" s="42">
        <v>4462547.4822000004</v>
      </c>
      <c r="CG4" s="51">
        <v>1009011.8366</v>
      </c>
      <c r="CH4" s="42">
        <v>5590134.7411000002</v>
      </c>
      <c r="CI4" s="42">
        <v>4472033.5159999998</v>
      </c>
      <c r="CJ4" s="51">
        <v>1118101.2250999999</v>
      </c>
      <c r="CK4" s="42">
        <v>5711159.8054</v>
      </c>
      <c r="CL4" s="42">
        <v>4481715.5212000003</v>
      </c>
      <c r="CM4" s="51">
        <v>1229444.2842999999</v>
      </c>
      <c r="CN4" s="42">
        <v>5865864.2377476096</v>
      </c>
      <c r="CO4" s="42">
        <v>4494091.8757595234</v>
      </c>
      <c r="CP4" s="51">
        <v>1371772.3619880863</v>
      </c>
      <c r="CQ4" s="42">
        <v>5962704.4146782458</v>
      </c>
      <c r="CR4" s="42">
        <v>4501839.0899140611</v>
      </c>
      <c r="CS4" s="51">
        <v>1460865.3247641847</v>
      </c>
      <c r="CT4" s="42">
        <v>6068481.9080128372</v>
      </c>
      <c r="CU4" s="42">
        <v>4510301.289380677</v>
      </c>
      <c r="CV4" s="51">
        <v>1558180.6186321601</v>
      </c>
      <c r="CW4" s="64">
        <f t="shared" ref="CW4:CW22" si="0">SUM(H4,L4,P4,S4,V4,Y4,AB4,AE4,AH4,AK4,AN4,AQ4,AT4,AW4,AZ4,BC4,BF4,BI4,BL4,BO4,BR4,BU4,BX4,CA4,CD4,CG4,CJ4,CM4,CP4,CS4,CV4)</f>
        <v>-5050973.7575155683</v>
      </c>
    </row>
    <row r="5" spans="1:101" x14ac:dyDescent="0.25">
      <c r="A5" t="s">
        <v>36</v>
      </c>
      <c r="B5">
        <v>2025</v>
      </c>
      <c r="C5">
        <v>3</v>
      </c>
      <c r="D5" t="s">
        <v>347</v>
      </c>
      <c r="E5" s="42">
        <v>1033581.4271</v>
      </c>
      <c r="F5" s="42">
        <v>4935465.3117000004</v>
      </c>
      <c r="G5" s="42">
        <v>-3901883.8846</v>
      </c>
      <c r="H5" s="51">
        <v>-4418674.59815</v>
      </c>
      <c r="I5" s="42">
        <v>1098517.9676999999</v>
      </c>
      <c r="J5" s="42">
        <v>4940660.2350000003</v>
      </c>
      <c r="K5" s="42">
        <v>-3842142.2672999999</v>
      </c>
      <c r="L5" s="51">
        <v>-4391401.2511500008</v>
      </c>
      <c r="M5" s="42">
        <v>1149415.2383999999</v>
      </c>
      <c r="N5" s="42">
        <v>4944732.0165999997</v>
      </c>
      <c r="O5" s="42">
        <v>-3795316.7782000001</v>
      </c>
      <c r="P5" s="51">
        <v>-4370024.3974000001</v>
      </c>
      <c r="Q5" s="42">
        <v>1193531.1392999999</v>
      </c>
      <c r="R5" s="42">
        <v>4948261.2887000004</v>
      </c>
      <c r="S5" s="51">
        <v>-3754730.1494</v>
      </c>
      <c r="T5" s="42">
        <v>1233597.0554</v>
      </c>
      <c r="U5" s="42">
        <v>4951466.5619999999</v>
      </c>
      <c r="V5" s="51">
        <v>-3717869.5066</v>
      </c>
      <c r="W5" s="42">
        <v>1270837.4007000001</v>
      </c>
      <c r="X5" s="42">
        <v>4954445.7895999998</v>
      </c>
      <c r="Y5" s="51">
        <v>-3683608.3889000001</v>
      </c>
      <c r="Z5" s="42">
        <v>1304587.2738000001</v>
      </c>
      <c r="AA5" s="42">
        <v>4957145.7795000002</v>
      </c>
      <c r="AB5" s="51">
        <v>-3652558.5057000001</v>
      </c>
      <c r="AC5" s="42">
        <v>1334939.2102000001</v>
      </c>
      <c r="AD5" s="42">
        <v>4959573.9343999997</v>
      </c>
      <c r="AE5" s="51">
        <v>-3624634.7241000002</v>
      </c>
      <c r="AF5" s="42">
        <v>1362564.1454</v>
      </c>
      <c r="AG5" s="42">
        <v>4961783.9292000001</v>
      </c>
      <c r="AH5" s="51">
        <v>-3599219.7837999999</v>
      </c>
      <c r="AI5" s="42">
        <v>1389564.0438000001</v>
      </c>
      <c r="AJ5" s="42">
        <v>4963943.9210999999</v>
      </c>
      <c r="AK5" s="51">
        <v>-3574379.8772</v>
      </c>
      <c r="AL5" s="42">
        <v>1416035.825</v>
      </c>
      <c r="AM5" s="42">
        <v>4966061.6635999996</v>
      </c>
      <c r="AN5" s="51">
        <v>-3550025.8385000001</v>
      </c>
      <c r="AO5" s="42">
        <v>1443198.3012999999</v>
      </c>
      <c r="AP5" s="42">
        <v>4968234.6617000001</v>
      </c>
      <c r="AQ5" s="51">
        <v>-3525036.3602999998</v>
      </c>
      <c r="AR5" s="42">
        <v>1469256.3428</v>
      </c>
      <c r="AS5" s="42">
        <v>4970319.3049999997</v>
      </c>
      <c r="AT5" s="51">
        <v>-3501062.9622</v>
      </c>
      <c r="AU5" s="42">
        <v>1495602.5430999999</v>
      </c>
      <c r="AV5" s="42">
        <v>4972427.0010000002</v>
      </c>
      <c r="AW5" s="51">
        <v>-3476824.4578999998</v>
      </c>
      <c r="AX5" s="42">
        <v>1521597.7941000001</v>
      </c>
      <c r="AY5" s="42">
        <v>4974506.6211000001</v>
      </c>
      <c r="AZ5" s="51">
        <v>-3452908.8269000002</v>
      </c>
      <c r="BA5" s="42">
        <v>1548383.5277</v>
      </c>
      <c r="BB5" s="42">
        <v>4976649.4797999999</v>
      </c>
      <c r="BC5" s="51">
        <v>-3428265.9520999999</v>
      </c>
      <c r="BD5" s="42">
        <v>1575263.4469000001</v>
      </c>
      <c r="BE5" s="42">
        <v>4978799.8733000001</v>
      </c>
      <c r="BF5" s="51">
        <v>-3403536.4264000002</v>
      </c>
      <c r="BG5" s="42">
        <v>1602357.531</v>
      </c>
      <c r="BH5" s="42">
        <v>4980967.4000000004</v>
      </c>
      <c r="BI5" s="51">
        <v>-3378609.8690999998</v>
      </c>
      <c r="BJ5" s="42">
        <v>1628201.4076</v>
      </c>
      <c r="BK5" s="42">
        <v>4983034.9101999998</v>
      </c>
      <c r="BL5" s="51">
        <v>-3354833.5025999998</v>
      </c>
      <c r="BM5" s="42">
        <v>1654165.2634000001</v>
      </c>
      <c r="BN5" s="42">
        <v>4985112.0186000001</v>
      </c>
      <c r="BO5" s="51">
        <v>-3330946.7552</v>
      </c>
      <c r="BP5" s="42">
        <v>1679506.8163000001</v>
      </c>
      <c r="BQ5" s="42">
        <v>4987139.3428999996</v>
      </c>
      <c r="BR5" s="51">
        <v>-3307632.5266</v>
      </c>
      <c r="BS5" s="42">
        <v>1703856.662</v>
      </c>
      <c r="BT5" s="42">
        <v>4989087.3305000002</v>
      </c>
      <c r="BU5" s="51">
        <v>-3285230.6685000001</v>
      </c>
      <c r="BV5" s="42">
        <v>1727423.4055999999</v>
      </c>
      <c r="BW5" s="42">
        <v>4990972.67</v>
      </c>
      <c r="BX5" s="51">
        <v>-3263549.2644000002</v>
      </c>
      <c r="BY5" s="42">
        <v>1750755.6636999999</v>
      </c>
      <c r="BZ5" s="42">
        <v>4992839.2506999997</v>
      </c>
      <c r="CA5" s="51">
        <v>-3242083.5869</v>
      </c>
      <c r="CB5" s="42">
        <v>1772512.5586000001</v>
      </c>
      <c r="CC5" s="42">
        <v>4994579.8022999996</v>
      </c>
      <c r="CD5" s="51">
        <v>-3222067.2436000002</v>
      </c>
      <c r="CE5" s="42">
        <v>1794049.6869000001</v>
      </c>
      <c r="CF5" s="42">
        <v>4996302.7725</v>
      </c>
      <c r="CG5" s="51">
        <v>-3202253.0855999999</v>
      </c>
      <c r="CH5" s="42">
        <v>1816157.531</v>
      </c>
      <c r="CI5" s="42">
        <v>4998071.4000000004</v>
      </c>
      <c r="CJ5" s="51">
        <v>-3181913.8689999999</v>
      </c>
      <c r="CK5" s="42">
        <v>1838636.5162</v>
      </c>
      <c r="CL5" s="42">
        <v>4999869.7188999997</v>
      </c>
      <c r="CM5" s="51">
        <v>-3161233.2026</v>
      </c>
      <c r="CN5" s="42">
        <v>1899108.0893857107</v>
      </c>
      <c r="CO5" s="42">
        <v>5004707.4447222212</v>
      </c>
      <c r="CP5" s="51">
        <v>-3105599.3553365106</v>
      </c>
      <c r="CQ5" s="42">
        <v>1920629.2334725633</v>
      </c>
      <c r="CR5" s="42">
        <v>5006429.1362468265</v>
      </c>
      <c r="CS5" s="51">
        <v>-3085799.9027742632</v>
      </c>
      <c r="CT5" s="42">
        <v>1943509.2611885965</v>
      </c>
      <c r="CU5" s="42">
        <v>5008259.5384652438</v>
      </c>
      <c r="CV5" s="51">
        <v>-3064750.2772766473</v>
      </c>
      <c r="CW5" s="64">
        <f t="shared" si="0"/>
        <v>-108311265.11618744</v>
      </c>
    </row>
    <row r="6" spans="1:101" x14ac:dyDescent="0.25">
      <c r="A6" t="s">
        <v>321</v>
      </c>
      <c r="B6">
        <v>2025</v>
      </c>
      <c r="C6" s="62">
        <v>4</v>
      </c>
      <c r="D6" t="s">
        <v>348</v>
      </c>
      <c r="E6" s="42">
        <v>7491457.5376000004</v>
      </c>
      <c r="F6" s="42">
        <v>8152684.2662000004</v>
      </c>
      <c r="G6" s="42">
        <v>-661226.72860000003</v>
      </c>
      <c r="H6" s="51">
        <v>-4406955.4974000007</v>
      </c>
      <c r="I6" s="42">
        <v>7931974.9348999998</v>
      </c>
      <c r="J6" s="42">
        <v>8187925.6579999998</v>
      </c>
      <c r="K6" s="42">
        <v>-255950.7231</v>
      </c>
      <c r="L6" s="51">
        <v>-4221938.1905499995</v>
      </c>
      <c r="M6" s="42">
        <v>8292185.8140000002</v>
      </c>
      <c r="N6" s="42">
        <v>8216742.5283000004</v>
      </c>
      <c r="O6" s="42">
        <v>75443.285699999993</v>
      </c>
      <c r="P6" s="51">
        <v>-4070649.6213000002</v>
      </c>
      <c r="Q6" s="42">
        <v>8614241.5672999993</v>
      </c>
      <c r="R6" s="42">
        <v>8242506.9885999998</v>
      </c>
      <c r="S6" s="51">
        <v>371734.57880000002</v>
      </c>
      <c r="T6" s="42">
        <v>8908367.6092000008</v>
      </c>
      <c r="U6" s="42">
        <v>8266037.0718999999</v>
      </c>
      <c r="V6" s="51">
        <v>642330.53729999997</v>
      </c>
      <c r="W6" s="42">
        <v>9185439.2489999998</v>
      </c>
      <c r="X6" s="42">
        <v>8288202.8031000001</v>
      </c>
      <c r="Y6" s="51">
        <v>897236.44590000005</v>
      </c>
      <c r="Z6" s="42">
        <v>9436366.2393999994</v>
      </c>
      <c r="AA6" s="42">
        <v>8308276.9622999998</v>
      </c>
      <c r="AB6" s="51">
        <v>1128089.2771000001</v>
      </c>
      <c r="AC6" s="42">
        <v>9660353.7134000007</v>
      </c>
      <c r="AD6" s="42">
        <v>8326195.9601999996</v>
      </c>
      <c r="AE6" s="51">
        <v>1334157.7531000001</v>
      </c>
      <c r="AF6" s="42">
        <v>9861542.4493000004</v>
      </c>
      <c r="AG6" s="42">
        <v>8342291.0591000002</v>
      </c>
      <c r="AH6" s="51">
        <v>1519251.3902</v>
      </c>
      <c r="AI6" s="42">
        <v>10059670.2432</v>
      </c>
      <c r="AJ6" s="42">
        <v>8358141.2825999996</v>
      </c>
      <c r="AK6" s="51">
        <v>1701528.9606000001</v>
      </c>
      <c r="AL6" s="42">
        <v>10252337.817500001</v>
      </c>
      <c r="AM6" s="42">
        <v>8373554.6886</v>
      </c>
      <c r="AN6" s="51">
        <v>1878783.1288999999</v>
      </c>
      <c r="AO6" s="42">
        <v>10448915.134400001</v>
      </c>
      <c r="AP6" s="42">
        <v>8389280.8739</v>
      </c>
      <c r="AQ6" s="51">
        <v>2059634.2605000001</v>
      </c>
      <c r="AR6" s="42">
        <v>10637511.532099999</v>
      </c>
      <c r="AS6" s="42">
        <v>8404368.5856999997</v>
      </c>
      <c r="AT6" s="51">
        <v>2233142.9463999998</v>
      </c>
      <c r="AU6" s="42">
        <v>10828579.8837</v>
      </c>
      <c r="AV6" s="42">
        <v>8419654.0538999997</v>
      </c>
      <c r="AW6" s="51">
        <v>2408925.8297999999</v>
      </c>
      <c r="AX6" s="42">
        <v>11015091.659499999</v>
      </c>
      <c r="AY6" s="42">
        <v>8434574.9958999995</v>
      </c>
      <c r="AZ6" s="51">
        <v>2580516.6634999998</v>
      </c>
      <c r="BA6" s="42">
        <v>11206170.060799999</v>
      </c>
      <c r="BB6" s="42">
        <v>8449861.2679999992</v>
      </c>
      <c r="BC6" s="51">
        <v>2756308.7927999999</v>
      </c>
      <c r="BD6" s="42">
        <v>11397498.1018</v>
      </c>
      <c r="BE6" s="42">
        <v>8465167.5112999994</v>
      </c>
      <c r="BF6" s="51">
        <v>2932330.5904999999</v>
      </c>
      <c r="BG6" s="42">
        <v>11588995.397</v>
      </c>
      <c r="BH6" s="42">
        <v>8480487.2949000001</v>
      </c>
      <c r="BI6" s="51">
        <v>3108508.1020999998</v>
      </c>
      <c r="BJ6" s="42">
        <v>11770082.6845</v>
      </c>
      <c r="BK6" s="42">
        <v>8494974.2778999992</v>
      </c>
      <c r="BL6" s="51">
        <v>3275108.4065999999</v>
      </c>
      <c r="BM6" s="42">
        <v>11952165.3051</v>
      </c>
      <c r="BN6" s="42">
        <v>8509540.8875999991</v>
      </c>
      <c r="BO6" s="51">
        <v>3442624.4175</v>
      </c>
      <c r="BP6" s="42">
        <v>12127143.793400001</v>
      </c>
      <c r="BQ6" s="42">
        <v>8523539.1666999999</v>
      </c>
      <c r="BR6" s="51">
        <v>3603604.6268000002</v>
      </c>
      <c r="BS6" s="42">
        <v>12292115.6953</v>
      </c>
      <c r="BT6" s="42">
        <v>8536736.9188000001</v>
      </c>
      <c r="BU6" s="51">
        <v>3755378.7765000002</v>
      </c>
      <c r="BV6" s="42">
        <v>12448416.6237</v>
      </c>
      <c r="BW6" s="42">
        <v>8549240.9931000005</v>
      </c>
      <c r="BX6" s="51">
        <v>3899175.6307000001</v>
      </c>
      <c r="BY6" s="42">
        <v>12602821.8069</v>
      </c>
      <c r="BZ6" s="42">
        <v>8561593.4077000003</v>
      </c>
      <c r="CA6" s="51">
        <v>4041228.3991999999</v>
      </c>
      <c r="CB6" s="42">
        <v>12743708.1609</v>
      </c>
      <c r="CC6" s="42">
        <v>8572864.3159999996</v>
      </c>
      <c r="CD6" s="51">
        <v>4170843.8448000001</v>
      </c>
      <c r="CE6" s="42">
        <v>12881752.960100001</v>
      </c>
      <c r="CF6" s="42">
        <v>8583907.9000000004</v>
      </c>
      <c r="CG6" s="51">
        <v>4297845.0601000004</v>
      </c>
      <c r="CH6" s="42">
        <v>13022463.044199999</v>
      </c>
      <c r="CI6" s="42">
        <v>8595164.7067000009</v>
      </c>
      <c r="CJ6" s="51">
        <v>4427298.3375000004</v>
      </c>
      <c r="CK6" s="42">
        <v>13164148.729599999</v>
      </c>
      <c r="CL6" s="42">
        <v>8606499.5614999998</v>
      </c>
      <c r="CM6" s="51">
        <v>4557649.1679999996</v>
      </c>
      <c r="CN6" s="42">
        <v>13666863.865548432</v>
      </c>
      <c r="CO6" s="42">
        <v>8646716.7724007964</v>
      </c>
      <c r="CP6" s="51">
        <v>5020147.0931476355</v>
      </c>
      <c r="CQ6" s="42">
        <v>13818424.240215659</v>
      </c>
      <c r="CR6" s="42">
        <v>8658841.6023747213</v>
      </c>
      <c r="CS6" s="51">
        <v>5159582.6378409378</v>
      </c>
      <c r="CT6" s="42">
        <v>13977586.63384372</v>
      </c>
      <c r="CU6" s="42">
        <v>8671574.5938671306</v>
      </c>
      <c r="CV6" s="51">
        <v>5306012.0399765894</v>
      </c>
      <c r="CW6" s="64">
        <f t="shared" si="0"/>
        <v>69809434.386915147</v>
      </c>
    </row>
    <row r="7" spans="1:101" x14ac:dyDescent="0.25">
      <c r="A7" t="s">
        <v>39</v>
      </c>
      <c r="B7">
        <v>2025</v>
      </c>
      <c r="C7">
        <v>3</v>
      </c>
      <c r="E7" s="42">
        <v>1076881.0519999999</v>
      </c>
      <c r="F7" s="42">
        <v>3307652.6872999999</v>
      </c>
      <c r="G7" s="42">
        <v>-2230771.6353000002</v>
      </c>
      <c r="H7" s="51">
        <v>-2769212.1612999998</v>
      </c>
      <c r="I7" s="42">
        <v>1139776.9025999999</v>
      </c>
      <c r="J7" s="42">
        <v>3312684.3553999998</v>
      </c>
      <c r="K7" s="42">
        <v>-2172907.4528000001</v>
      </c>
      <c r="L7" s="51">
        <v>-2742795.9040999999</v>
      </c>
      <c r="M7" s="42">
        <v>1193154.3965</v>
      </c>
      <c r="N7" s="42">
        <v>3316954.5548999999</v>
      </c>
      <c r="O7" s="42">
        <v>-2123800.1584000001</v>
      </c>
      <c r="P7" s="51">
        <v>-2720377.35665</v>
      </c>
      <c r="Q7" s="42">
        <v>1242010.9772000001</v>
      </c>
      <c r="R7" s="42">
        <v>3320863.0814</v>
      </c>
      <c r="S7" s="51">
        <v>-2078852.1041000001</v>
      </c>
      <c r="T7" s="42">
        <v>1288293.149</v>
      </c>
      <c r="U7" s="42">
        <v>3324565.6551000001</v>
      </c>
      <c r="V7" s="51">
        <v>-2036272.5061000001</v>
      </c>
      <c r="W7" s="42">
        <v>1333243.8677999999</v>
      </c>
      <c r="X7" s="42">
        <v>3328161.7126000002</v>
      </c>
      <c r="Y7" s="51">
        <v>-1994917.8448000001</v>
      </c>
      <c r="Z7" s="42">
        <v>1375718.7471</v>
      </c>
      <c r="AA7" s="42">
        <v>3331559.7028999999</v>
      </c>
      <c r="AB7" s="51">
        <v>-1955840.9558999999</v>
      </c>
      <c r="AC7" s="42">
        <v>1414528.8540000001</v>
      </c>
      <c r="AD7" s="42">
        <v>3334664.5115</v>
      </c>
      <c r="AE7" s="51">
        <v>-1920135.6575</v>
      </c>
      <c r="AF7" s="42">
        <v>1450921.5281</v>
      </c>
      <c r="AG7" s="42">
        <v>3337575.9254000001</v>
      </c>
      <c r="AH7" s="51">
        <v>-1886654.3973000001</v>
      </c>
      <c r="AI7" s="42">
        <v>1487157.2261000001</v>
      </c>
      <c r="AJ7" s="42">
        <v>3340474.7812999999</v>
      </c>
      <c r="AK7" s="51">
        <v>-1853317.5552000001</v>
      </c>
      <c r="AL7" s="42">
        <v>1523136.1603999999</v>
      </c>
      <c r="AM7" s="42">
        <v>3343353.0959999999</v>
      </c>
      <c r="AN7" s="51">
        <v>-1820216.9356</v>
      </c>
      <c r="AO7" s="42">
        <v>1560093.9487000001</v>
      </c>
      <c r="AP7" s="42">
        <v>3346309.7190999999</v>
      </c>
      <c r="AQ7" s="51">
        <v>-1786215.7704</v>
      </c>
      <c r="AR7" s="42">
        <v>1596643.5989999999</v>
      </c>
      <c r="AS7" s="42">
        <v>3349233.6910999999</v>
      </c>
      <c r="AT7" s="51">
        <v>-1752590.0921</v>
      </c>
      <c r="AU7" s="42">
        <v>1633726.9682</v>
      </c>
      <c r="AV7" s="42">
        <v>3352200.3605999998</v>
      </c>
      <c r="AW7" s="51">
        <v>-1718473.3924</v>
      </c>
      <c r="AX7" s="42">
        <v>1670967.3134999999</v>
      </c>
      <c r="AY7" s="42">
        <v>3355179.5882999999</v>
      </c>
      <c r="AZ7" s="51">
        <v>-1684212.2747</v>
      </c>
      <c r="BA7" s="42">
        <v>1709356.4291000001</v>
      </c>
      <c r="BB7" s="42">
        <v>3358250.7174999998</v>
      </c>
      <c r="BC7" s="51">
        <v>-1648894.2884</v>
      </c>
      <c r="BD7" s="42">
        <v>1748332.6292000001</v>
      </c>
      <c r="BE7" s="42">
        <v>3361368.8135000002</v>
      </c>
      <c r="BF7" s="51">
        <v>-1613036.1843000001</v>
      </c>
      <c r="BG7" s="42">
        <v>1787959.0120999999</v>
      </c>
      <c r="BH7" s="42">
        <v>3364538.9240999999</v>
      </c>
      <c r="BI7" s="51">
        <v>-1576579.912</v>
      </c>
      <c r="BJ7" s="42">
        <v>1826863.3047</v>
      </c>
      <c r="BK7" s="42">
        <v>3367651.2675999999</v>
      </c>
      <c r="BL7" s="51">
        <v>-1540787.9628999999</v>
      </c>
      <c r="BM7" s="42">
        <v>1866575.4036999999</v>
      </c>
      <c r="BN7" s="42">
        <v>3370828.2355</v>
      </c>
      <c r="BO7" s="51">
        <v>-1504252.8318</v>
      </c>
      <c r="BP7" s="42">
        <v>1905950.6247</v>
      </c>
      <c r="BQ7" s="42">
        <v>3373978.2532000002</v>
      </c>
      <c r="BR7" s="51">
        <v>-1468027.6284</v>
      </c>
      <c r="BS7" s="42">
        <v>1946016.5408000001</v>
      </c>
      <c r="BT7" s="42">
        <v>3377183.5263999999</v>
      </c>
      <c r="BU7" s="51">
        <v>-1431166.9856</v>
      </c>
      <c r="BV7" s="42">
        <v>1986396.4092999999</v>
      </c>
      <c r="BW7" s="42">
        <v>3380413.9158999999</v>
      </c>
      <c r="BX7" s="51">
        <v>-1394017.5067</v>
      </c>
      <c r="BY7" s="42">
        <v>2027247.2061000001</v>
      </c>
      <c r="BZ7" s="42">
        <v>3383681.9797</v>
      </c>
      <c r="CA7" s="51">
        <v>-1356434.7734999999</v>
      </c>
      <c r="CB7" s="42">
        <v>2067237.4785</v>
      </c>
      <c r="CC7" s="42">
        <v>3386881.2015</v>
      </c>
      <c r="CD7" s="51">
        <v>-1319643.723</v>
      </c>
      <c r="CE7" s="42">
        <v>2107428.9755000002</v>
      </c>
      <c r="CF7" s="42">
        <v>3390096.5211999998</v>
      </c>
      <c r="CG7" s="51">
        <v>-1282667.5456999999</v>
      </c>
      <c r="CH7" s="42">
        <v>2148368.3563000001</v>
      </c>
      <c r="CI7" s="42">
        <v>3393371.6716999998</v>
      </c>
      <c r="CJ7" s="51">
        <v>-1245003.3152999999</v>
      </c>
      <c r="CK7" s="42">
        <v>2190255.1957999999</v>
      </c>
      <c r="CL7" s="42">
        <v>3396722.6187999998</v>
      </c>
      <c r="CM7" s="51">
        <v>-1206467.423</v>
      </c>
      <c r="CN7" s="42">
        <v>2227217.0243150741</v>
      </c>
      <c r="CO7" s="42">
        <v>3399679.5651269834</v>
      </c>
      <c r="CP7" s="51">
        <v>-1172462.5408119094</v>
      </c>
      <c r="CQ7" s="42">
        <v>2263363.6489315182</v>
      </c>
      <c r="CR7" s="42">
        <v>3402571.2950935373</v>
      </c>
      <c r="CS7" s="51">
        <v>-1139207.6461620191</v>
      </c>
      <c r="CT7" s="42">
        <v>2300536.1606652737</v>
      </c>
      <c r="CU7" s="42">
        <v>3405545.0960328761</v>
      </c>
      <c r="CV7" s="51">
        <v>-1105008.9353676024</v>
      </c>
      <c r="CW7" s="64">
        <f t="shared" si="0"/>
        <v>-52723744.111091532</v>
      </c>
    </row>
    <row r="8" spans="1:101" x14ac:dyDescent="0.25">
      <c r="A8" t="s">
        <v>50</v>
      </c>
      <c r="B8">
        <v>2025</v>
      </c>
      <c r="C8">
        <v>1</v>
      </c>
      <c r="E8" s="42">
        <v>254166.15539999999</v>
      </c>
      <c r="F8" s="42">
        <v>2034664.0327999999</v>
      </c>
      <c r="G8" s="42">
        <v>-1780497.8773000001</v>
      </c>
      <c r="H8" s="51">
        <v>-1907580.9550999999</v>
      </c>
      <c r="I8" s="42">
        <v>267625.3015</v>
      </c>
      <c r="J8" s="42">
        <v>2035808.0601999999</v>
      </c>
      <c r="K8" s="42">
        <v>-1768182.7586999999</v>
      </c>
      <c r="L8" s="51">
        <v>-1901995.4094499999</v>
      </c>
      <c r="M8" s="42">
        <v>279271.72009999998</v>
      </c>
      <c r="N8" s="42">
        <v>2036798.0057999999</v>
      </c>
      <c r="O8" s="42">
        <v>-1757526.2856000001</v>
      </c>
      <c r="P8" s="51">
        <v>-1897162.1457499999</v>
      </c>
      <c r="Q8" s="42">
        <v>290699.89480000001</v>
      </c>
      <c r="R8" s="42">
        <v>2037769.4006000001</v>
      </c>
      <c r="S8" s="51">
        <v>-1747069.5057999999</v>
      </c>
      <c r="T8" s="42">
        <v>301368.36989999999</v>
      </c>
      <c r="U8" s="42">
        <v>2038676.2209999999</v>
      </c>
      <c r="V8" s="51">
        <v>-1737307.8511000001</v>
      </c>
      <c r="W8" s="42">
        <v>311699.92340000003</v>
      </c>
      <c r="X8" s="42">
        <v>2039554.4029999999</v>
      </c>
      <c r="Y8" s="51">
        <v>-1727854.4797</v>
      </c>
      <c r="Z8" s="42">
        <v>321915.21769999998</v>
      </c>
      <c r="AA8" s="42">
        <v>2040422.7031</v>
      </c>
      <c r="AB8" s="51">
        <v>-1718507.4853999999</v>
      </c>
      <c r="AC8" s="42">
        <v>331427.94130000001</v>
      </c>
      <c r="AD8" s="42">
        <v>2041231.2845999999</v>
      </c>
      <c r="AE8" s="51">
        <v>-1709803.3432</v>
      </c>
      <c r="AF8" s="42">
        <v>339933.08669999999</v>
      </c>
      <c r="AG8" s="42">
        <v>2041954.2219</v>
      </c>
      <c r="AH8" s="51">
        <v>-1702021.1351999999</v>
      </c>
      <c r="AI8" s="42">
        <v>349149.46380000003</v>
      </c>
      <c r="AJ8" s="42">
        <v>2042737.6140000001</v>
      </c>
      <c r="AK8" s="51">
        <v>-1693588.1501</v>
      </c>
      <c r="AL8" s="42">
        <v>358128.76370000001</v>
      </c>
      <c r="AM8" s="42">
        <v>2043500.8544999999</v>
      </c>
      <c r="AN8" s="51">
        <v>-1685372.0907999999</v>
      </c>
      <c r="AO8" s="42">
        <v>367201.98109999998</v>
      </c>
      <c r="AP8" s="42">
        <v>2044272.0778999999</v>
      </c>
      <c r="AQ8" s="51">
        <v>-1677070.0967999999</v>
      </c>
      <c r="AR8" s="42">
        <v>376210.91570000001</v>
      </c>
      <c r="AS8" s="42">
        <v>2045037.8374000001</v>
      </c>
      <c r="AT8" s="51">
        <v>-1668826.9217000001</v>
      </c>
      <c r="AU8" s="42">
        <v>385723.63929999998</v>
      </c>
      <c r="AV8" s="42">
        <v>2045846.4188999999</v>
      </c>
      <c r="AW8" s="51">
        <v>-1660122.7796</v>
      </c>
      <c r="AX8" s="42">
        <v>395414.17080000002</v>
      </c>
      <c r="AY8" s="42">
        <v>2046670.1140999999</v>
      </c>
      <c r="AZ8" s="51">
        <v>-1651255.9432000001</v>
      </c>
      <c r="BA8" s="42">
        <v>405045.43310000002</v>
      </c>
      <c r="BB8" s="42">
        <v>2047488.7714</v>
      </c>
      <c r="BC8" s="51">
        <v>-1642443.3382999999</v>
      </c>
      <c r="BD8" s="42">
        <v>414824.86859999999</v>
      </c>
      <c r="BE8" s="42">
        <v>2048320.0234000001</v>
      </c>
      <c r="BF8" s="51">
        <v>-1633495.1547999999</v>
      </c>
      <c r="BG8" s="42">
        <v>425202.01069999998</v>
      </c>
      <c r="BH8" s="42">
        <v>2049202.0804999999</v>
      </c>
      <c r="BI8" s="51">
        <v>-1624000.0697000001</v>
      </c>
      <c r="BJ8" s="42">
        <v>435248.1581</v>
      </c>
      <c r="BK8" s="42">
        <v>2050056.003</v>
      </c>
      <c r="BL8" s="51">
        <v>-1614807.8448999999</v>
      </c>
      <c r="BM8" s="42">
        <v>444997.95899999997</v>
      </c>
      <c r="BN8" s="42">
        <v>2050884.7361000001</v>
      </c>
      <c r="BO8" s="51">
        <v>-1605886.7771000001</v>
      </c>
      <c r="BP8" s="42">
        <v>455192.27960000001</v>
      </c>
      <c r="BQ8" s="42">
        <v>2051751.2533</v>
      </c>
      <c r="BR8" s="51">
        <v>-1596558.9737</v>
      </c>
      <c r="BS8" s="42">
        <v>464379.0221</v>
      </c>
      <c r="BT8" s="42">
        <v>2052532.1264</v>
      </c>
      <c r="BU8" s="51">
        <v>-1588153.1044000001</v>
      </c>
      <c r="BV8" s="42">
        <v>474028.97850000003</v>
      </c>
      <c r="BW8" s="42">
        <v>2053352.3726999999</v>
      </c>
      <c r="BX8" s="51">
        <v>-1579323.3942</v>
      </c>
      <c r="BY8" s="42">
        <v>483008.27840000001</v>
      </c>
      <c r="BZ8" s="42">
        <v>2054115.6132</v>
      </c>
      <c r="CA8" s="51">
        <v>-1571107.3348000001</v>
      </c>
      <c r="CB8" s="42">
        <v>491720.8664</v>
      </c>
      <c r="CC8" s="42">
        <v>2054856.1832000001</v>
      </c>
      <c r="CD8" s="51">
        <v>-1563135.3167999999</v>
      </c>
      <c r="CE8" s="42">
        <v>500522.35830000002</v>
      </c>
      <c r="CF8" s="42">
        <v>2055604.31</v>
      </c>
      <c r="CG8" s="51">
        <v>-1555081.9517000001</v>
      </c>
      <c r="CH8" s="42">
        <v>509501.65820000001</v>
      </c>
      <c r="CI8" s="42">
        <v>2056367.5504999999</v>
      </c>
      <c r="CJ8" s="51">
        <v>-1546865.8922999999</v>
      </c>
      <c r="CK8" s="42">
        <v>518629.13130000001</v>
      </c>
      <c r="CL8" s="42">
        <v>2057143.3857</v>
      </c>
      <c r="CM8" s="51">
        <v>-1538514.2544</v>
      </c>
      <c r="CN8" s="42">
        <v>530788.9723523818</v>
      </c>
      <c r="CO8" s="42">
        <v>2058176.9721944449</v>
      </c>
      <c r="CP8" s="51">
        <v>-1527387.9998420631</v>
      </c>
      <c r="CQ8" s="42">
        <v>539865.36527970433</v>
      </c>
      <c r="CR8" s="42">
        <v>2058948.4655936514</v>
      </c>
      <c r="CS8" s="51">
        <v>-1519083.1003139471</v>
      </c>
      <c r="CT8" s="42">
        <v>549111.15278432891</v>
      </c>
      <c r="CU8" s="42">
        <v>2059734.3575308842</v>
      </c>
      <c r="CV8" s="51">
        <v>-1510623.2047465553</v>
      </c>
      <c r="CW8" s="64">
        <f t="shared" si="0"/>
        <v>-51302006.004902557</v>
      </c>
    </row>
    <row r="9" spans="1:101" x14ac:dyDescent="0.25">
      <c r="A9" t="s">
        <v>53</v>
      </c>
      <c r="B9">
        <v>2025</v>
      </c>
      <c r="C9">
        <v>3</v>
      </c>
      <c r="E9" s="42">
        <v>324611.97110000002</v>
      </c>
      <c r="F9" s="42">
        <v>2627092.7963999999</v>
      </c>
      <c r="G9" s="42">
        <v>-2302480.8253000001</v>
      </c>
      <c r="H9" s="51">
        <v>-2464786.81085</v>
      </c>
      <c r="I9" s="42">
        <v>342126.05109999998</v>
      </c>
      <c r="J9" s="42">
        <v>2628581.4931999999</v>
      </c>
      <c r="K9" s="42">
        <v>-2286455.4421000001</v>
      </c>
      <c r="L9" s="51">
        <v>-2457518.46765</v>
      </c>
      <c r="M9" s="42">
        <v>357950.9558</v>
      </c>
      <c r="N9" s="42">
        <v>2629926.6101000002</v>
      </c>
      <c r="O9" s="42">
        <v>-2271975.6543000001</v>
      </c>
      <c r="P9" s="51">
        <v>-2450951.1322000003</v>
      </c>
      <c r="Q9" s="42">
        <v>373306.71970000002</v>
      </c>
      <c r="R9" s="42">
        <v>2631231.85</v>
      </c>
      <c r="S9" s="51">
        <v>-2257925.1304000001</v>
      </c>
      <c r="T9" s="42">
        <v>388124.04619999998</v>
      </c>
      <c r="U9" s="42">
        <v>2632491.3228000002</v>
      </c>
      <c r="V9" s="51">
        <v>-2244367.2766</v>
      </c>
      <c r="W9" s="42">
        <v>402882.10340000002</v>
      </c>
      <c r="X9" s="42">
        <v>2633745.7576000001</v>
      </c>
      <c r="Y9" s="51">
        <v>-2230863.6542000002</v>
      </c>
      <c r="Z9" s="42">
        <v>417106.73690000002</v>
      </c>
      <c r="AA9" s="42">
        <v>2634954.8514999999</v>
      </c>
      <c r="AB9" s="51">
        <v>-2217848.1146</v>
      </c>
      <c r="AC9" s="42">
        <v>430773.32549999998</v>
      </c>
      <c r="AD9" s="42">
        <v>2636116.5115</v>
      </c>
      <c r="AE9" s="51">
        <v>-2205343.1860000002</v>
      </c>
      <c r="AF9" s="42">
        <v>443871.84220000001</v>
      </c>
      <c r="AG9" s="42">
        <v>2637229.8854</v>
      </c>
      <c r="AH9" s="51">
        <v>-2193358.0433</v>
      </c>
      <c r="AI9" s="42">
        <v>457088.89740000002</v>
      </c>
      <c r="AJ9" s="42">
        <v>2638353.3350999998</v>
      </c>
      <c r="AK9" s="51">
        <v>-2181264.4377000001</v>
      </c>
      <c r="AL9" s="42">
        <v>470527.07579999999</v>
      </c>
      <c r="AM9" s="42">
        <v>2639495.5803</v>
      </c>
      <c r="AN9" s="51">
        <v>-2168968.5044999998</v>
      </c>
      <c r="AO9" s="42">
        <v>484490.011</v>
      </c>
      <c r="AP9" s="42">
        <v>2640682.4298</v>
      </c>
      <c r="AQ9" s="51">
        <v>-2156192.4188000001</v>
      </c>
      <c r="AR9" s="42">
        <v>498299.75929999998</v>
      </c>
      <c r="AS9" s="42">
        <v>2641856.2584000002</v>
      </c>
      <c r="AT9" s="51">
        <v>-2143556.4991000001</v>
      </c>
      <c r="AU9" s="42">
        <v>512613.29680000001</v>
      </c>
      <c r="AV9" s="42">
        <v>2643072.9090999998</v>
      </c>
      <c r="AW9" s="51">
        <v>-2130459.6123000002</v>
      </c>
      <c r="AX9" s="42">
        <v>527186.37620000006</v>
      </c>
      <c r="AY9" s="42">
        <v>2644311.6208000001</v>
      </c>
      <c r="AZ9" s="51">
        <v>-2117125.2445999999</v>
      </c>
      <c r="BA9" s="42">
        <v>542181.51060000004</v>
      </c>
      <c r="BB9" s="42">
        <v>2645586.2072999999</v>
      </c>
      <c r="BC9" s="51">
        <v>-2103404.6965999999</v>
      </c>
      <c r="BD9" s="42">
        <v>557502.6263</v>
      </c>
      <c r="BE9" s="42">
        <v>2646888.5021000002</v>
      </c>
      <c r="BF9" s="51">
        <v>-2089385.8758</v>
      </c>
      <c r="BG9" s="42">
        <v>573268.26170000003</v>
      </c>
      <c r="BH9" s="42">
        <v>2648228.5811000001</v>
      </c>
      <c r="BI9" s="51">
        <v>-2074960.3193999999</v>
      </c>
      <c r="BJ9" s="42">
        <v>588979.64139999996</v>
      </c>
      <c r="BK9" s="42">
        <v>2649564.0484000002</v>
      </c>
      <c r="BL9" s="51">
        <v>-2060584.4069999999</v>
      </c>
      <c r="BM9" s="42">
        <v>605071.25800000003</v>
      </c>
      <c r="BN9" s="42">
        <v>2650931.8358</v>
      </c>
      <c r="BO9" s="51">
        <v>-2045860.5778000001</v>
      </c>
      <c r="BP9" s="42">
        <v>621162.87459999998</v>
      </c>
      <c r="BQ9" s="42">
        <v>2652299.6231999998</v>
      </c>
      <c r="BR9" s="51">
        <v>-2031136.7486</v>
      </c>
      <c r="BS9" s="42">
        <v>637717.70519999997</v>
      </c>
      <c r="BT9" s="42">
        <v>2653706.7837999999</v>
      </c>
      <c r="BU9" s="51">
        <v>-2015989.0785999999</v>
      </c>
      <c r="BV9" s="42">
        <v>654046.39899999998</v>
      </c>
      <c r="BW9" s="42">
        <v>2655094.7228000001</v>
      </c>
      <c r="BX9" s="51">
        <v>-2001048.3237999999</v>
      </c>
      <c r="BY9" s="42">
        <v>670671.43940000003</v>
      </c>
      <c r="BZ9" s="42">
        <v>2656507.8511999999</v>
      </c>
      <c r="CA9" s="51">
        <v>-1985836.4117999999</v>
      </c>
      <c r="CB9" s="42">
        <v>687153.32010000001</v>
      </c>
      <c r="CC9" s="42">
        <v>2657908.8111</v>
      </c>
      <c r="CD9" s="51">
        <v>-1970755.4909999999</v>
      </c>
      <c r="CE9" s="42">
        <v>703807.99509999994</v>
      </c>
      <c r="CF9" s="42">
        <v>2659324.4583999999</v>
      </c>
      <c r="CG9" s="51">
        <v>-1955516.4634</v>
      </c>
      <c r="CH9" s="42">
        <v>720877.55519999994</v>
      </c>
      <c r="CI9" s="42">
        <v>2660775.3711000001</v>
      </c>
      <c r="CJ9" s="51">
        <v>-1939897.8158</v>
      </c>
      <c r="CK9" s="42">
        <v>738677.18030000001</v>
      </c>
      <c r="CL9" s="42">
        <v>2662288.3391999998</v>
      </c>
      <c r="CM9" s="51">
        <v>-1923611.1588999999</v>
      </c>
      <c r="CN9" s="42">
        <v>743634.25920873135</v>
      </c>
      <c r="CO9" s="42">
        <v>2662709.6909079365</v>
      </c>
      <c r="CP9" s="51">
        <v>-1919075.4316992052</v>
      </c>
      <c r="CQ9" s="42">
        <v>758709.33414093032</v>
      </c>
      <c r="CR9" s="42">
        <v>2663991.0722797052</v>
      </c>
      <c r="CS9" s="51">
        <v>-1905281.7381387749</v>
      </c>
      <c r="CT9" s="42">
        <v>774002.42384035885</v>
      </c>
      <c r="CU9" s="42">
        <v>2665290.9849069016</v>
      </c>
      <c r="CV9" s="51">
        <v>-1891288.5610665428</v>
      </c>
      <c r="CW9" s="64">
        <f t="shared" si="0"/>
        <v>-65534161.632204503</v>
      </c>
    </row>
    <row r="10" spans="1:101" x14ac:dyDescent="0.25">
      <c r="A10" t="s">
        <v>56</v>
      </c>
      <c r="B10">
        <v>2025</v>
      </c>
      <c r="C10">
        <v>3</v>
      </c>
      <c r="D10" t="s">
        <v>347</v>
      </c>
      <c r="E10" s="42">
        <v>715578.81319999998</v>
      </c>
      <c r="F10" s="42">
        <v>4329618.9031999996</v>
      </c>
      <c r="G10" s="42">
        <v>-3614040.09</v>
      </c>
      <c r="H10" s="51">
        <v>-3971829.4965999997</v>
      </c>
      <c r="I10" s="42">
        <v>757002.27040000004</v>
      </c>
      <c r="J10" s="42">
        <v>4333139.8969999999</v>
      </c>
      <c r="K10" s="42">
        <v>-3576137.6266999999</v>
      </c>
      <c r="L10" s="51">
        <v>-3954638.7618</v>
      </c>
      <c r="M10" s="42">
        <v>793304.72030000004</v>
      </c>
      <c r="N10" s="42">
        <v>4336225.6052999999</v>
      </c>
      <c r="O10" s="42">
        <v>-3542920.8849999998</v>
      </c>
      <c r="P10" s="51">
        <v>-3939573.2451499999</v>
      </c>
      <c r="Q10" s="42">
        <v>827720.58570000005</v>
      </c>
      <c r="R10" s="42">
        <v>4339150.9539000001</v>
      </c>
      <c r="S10" s="51">
        <v>-3511430.3681000001</v>
      </c>
      <c r="T10" s="42">
        <v>860370.80350000004</v>
      </c>
      <c r="U10" s="42">
        <v>4341926.2224000003</v>
      </c>
      <c r="V10" s="51">
        <v>-3481555.4188000001</v>
      </c>
      <c r="W10" s="42">
        <v>891813.17039999994</v>
      </c>
      <c r="X10" s="42">
        <v>4344598.8234999999</v>
      </c>
      <c r="Y10" s="51">
        <v>-3452785.6531000002</v>
      </c>
      <c r="Z10" s="42">
        <v>921512.10640000005</v>
      </c>
      <c r="AA10" s="42">
        <v>4347123.2330999998</v>
      </c>
      <c r="AB10" s="51">
        <v>-3425611.1266999999</v>
      </c>
      <c r="AC10" s="42">
        <v>949101.96829999995</v>
      </c>
      <c r="AD10" s="42">
        <v>4349468.3713999996</v>
      </c>
      <c r="AE10" s="51">
        <v>-3400366.4029999999</v>
      </c>
      <c r="AF10" s="42">
        <v>975406.59979999997</v>
      </c>
      <c r="AG10" s="42">
        <v>4351704.2649999997</v>
      </c>
      <c r="AH10" s="51">
        <v>-3376297.6653</v>
      </c>
      <c r="AI10" s="42">
        <v>1001514.7291</v>
      </c>
      <c r="AJ10" s="42">
        <v>4353923.4560000002</v>
      </c>
      <c r="AK10" s="51">
        <v>-3352408.7269000001</v>
      </c>
      <c r="AL10" s="42">
        <v>1027568.6027</v>
      </c>
      <c r="AM10" s="42">
        <v>4356138.0352999996</v>
      </c>
      <c r="AN10" s="51">
        <v>-3328569.4325999999</v>
      </c>
      <c r="AO10" s="42">
        <v>1054387.9637</v>
      </c>
      <c r="AP10" s="42">
        <v>4358417.6809999999</v>
      </c>
      <c r="AQ10" s="51">
        <v>-3304029.7171999998</v>
      </c>
      <c r="AR10" s="42">
        <v>1080945.6265</v>
      </c>
      <c r="AS10" s="42">
        <v>4360675.0822999999</v>
      </c>
      <c r="AT10" s="51">
        <v>-3279729.4558000001</v>
      </c>
      <c r="AU10" s="42">
        <v>1108031.6993</v>
      </c>
      <c r="AV10" s="42">
        <v>4362977.3985000001</v>
      </c>
      <c r="AW10" s="51">
        <v>-3254945.6992000001</v>
      </c>
      <c r="AX10" s="42">
        <v>1135284.6396999999</v>
      </c>
      <c r="AY10" s="42">
        <v>4365293.8984000003</v>
      </c>
      <c r="AZ10" s="51">
        <v>-3230009.2587000001</v>
      </c>
      <c r="BA10" s="42">
        <v>1163247.5686999999</v>
      </c>
      <c r="BB10" s="42">
        <v>4367670.7473999998</v>
      </c>
      <c r="BC10" s="51">
        <v>-3204423.1787</v>
      </c>
      <c r="BD10" s="42">
        <v>1192046.6636000001</v>
      </c>
      <c r="BE10" s="42">
        <v>4370118.6705</v>
      </c>
      <c r="BF10" s="51">
        <v>-3178072.0068000001</v>
      </c>
      <c r="BG10" s="42">
        <v>1221088.6236</v>
      </c>
      <c r="BH10" s="42">
        <v>4372587.2370999996</v>
      </c>
      <c r="BI10" s="51">
        <v>-3151498.6135</v>
      </c>
      <c r="BJ10" s="42">
        <v>1249691.0774000001</v>
      </c>
      <c r="BK10" s="42">
        <v>4375018.4456000002</v>
      </c>
      <c r="BL10" s="51">
        <v>-3125327.3681999999</v>
      </c>
      <c r="BM10" s="42">
        <v>1278717.0833000001</v>
      </c>
      <c r="BN10" s="42">
        <v>4377485.6561000003</v>
      </c>
      <c r="BO10" s="51">
        <v>-3098768.5728000002</v>
      </c>
      <c r="BP10" s="42">
        <v>1307645.5183000001</v>
      </c>
      <c r="BQ10" s="42">
        <v>4379944.5730999997</v>
      </c>
      <c r="BR10" s="51">
        <v>-3072299.0548</v>
      </c>
      <c r="BS10" s="42">
        <v>1335671.2390999999</v>
      </c>
      <c r="BT10" s="42">
        <v>4382326.7593999999</v>
      </c>
      <c r="BU10" s="51">
        <v>-3046655.5203</v>
      </c>
      <c r="BV10" s="42">
        <v>1362554.8829999999</v>
      </c>
      <c r="BW10" s="42">
        <v>4384611.8690999998</v>
      </c>
      <c r="BX10" s="51">
        <v>-3022056.9860999999</v>
      </c>
      <c r="BY10" s="42">
        <v>1389374.2439999999</v>
      </c>
      <c r="BZ10" s="42">
        <v>4386891.5148</v>
      </c>
      <c r="CA10" s="51">
        <v>-2997517.2708000001</v>
      </c>
      <c r="CB10" s="42">
        <v>1415368.8483</v>
      </c>
      <c r="CC10" s="42">
        <v>4389101.0562000005</v>
      </c>
      <c r="CD10" s="51">
        <v>-2973732.2078</v>
      </c>
      <c r="CE10" s="42">
        <v>1441490.6583</v>
      </c>
      <c r="CF10" s="42">
        <v>4391321.41</v>
      </c>
      <c r="CG10" s="51">
        <v>-2949830.7516999999</v>
      </c>
      <c r="CH10" s="42">
        <v>1468125.0415000001</v>
      </c>
      <c r="CI10" s="42">
        <v>4393585.3326000003</v>
      </c>
      <c r="CJ10" s="51">
        <v>-2925460.2911</v>
      </c>
      <c r="CK10" s="42">
        <v>1495151.8451</v>
      </c>
      <c r="CL10" s="42">
        <v>4395882.6108999997</v>
      </c>
      <c r="CM10" s="51">
        <v>-2900730.7658000002</v>
      </c>
      <c r="CN10" s="42">
        <v>1530425.0478428528</v>
      </c>
      <c r="CO10" s="42">
        <v>4398880.8331246041</v>
      </c>
      <c r="CP10" s="51">
        <v>-2868455.7852817513</v>
      </c>
      <c r="CQ10" s="42">
        <v>1556486.3287950158</v>
      </c>
      <c r="CR10" s="42">
        <v>4401096.0420066901</v>
      </c>
      <c r="CS10" s="51">
        <v>-2844609.7132116742</v>
      </c>
      <c r="CT10" s="42">
        <v>1583091.1922431663</v>
      </c>
      <c r="CU10" s="42">
        <v>4403357.4553963393</v>
      </c>
      <c r="CV10" s="51">
        <v>-2820266.263153173</v>
      </c>
      <c r="CW10" s="64">
        <f t="shared" si="0"/>
        <v>-100443484.77899659</v>
      </c>
    </row>
    <row r="11" spans="1:101" x14ac:dyDescent="0.25">
      <c r="A11" t="s">
        <v>91</v>
      </c>
      <c r="B11">
        <v>2025</v>
      </c>
      <c r="C11">
        <v>0</v>
      </c>
      <c r="E11" s="42">
        <v>78948.868199999997</v>
      </c>
      <c r="F11" s="42">
        <v>1122254.3543</v>
      </c>
      <c r="G11" s="42">
        <v>-1043305.4861</v>
      </c>
      <c r="H11" s="51">
        <v>-1082779.9202000001</v>
      </c>
      <c r="I11" s="42">
        <v>79033.839699999997</v>
      </c>
      <c r="J11" s="42">
        <v>1122262.0016999999</v>
      </c>
      <c r="K11" s="42">
        <v>-1043228.162</v>
      </c>
      <c r="L11" s="51">
        <v>-1082745.08185</v>
      </c>
      <c r="M11" s="42">
        <v>79090.487399999998</v>
      </c>
      <c r="N11" s="42">
        <v>1122267.1000000001</v>
      </c>
      <c r="O11" s="42">
        <v>-1043176.6126</v>
      </c>
      <c r="P11" s="51">
        <v>-1082721.8563000001</v>
      </c>
      <c r="Q11" s="42">
        <v>79175.458899999998</v>
      </c>
      <c r="R11" s="42">
        <v>1122274.7475000001</v>
      </c>
      <c r="S11" s="51">
        <v>-1043099.2886</v>
      </c>
      <c r="T11" s="42">
        <v>79260.430399999997</v>
      </c>
      <c r="U11" s="42">
        <v>1122282.3949</v>
      </c>
      <c r="V11" s="51">
        <v>-1043021.9645</v>
      </c>
      <c r="W11" s="42">
        <v>79345.401899999997</v>
      </c>
      <c r="X11" s="42">
        <v>1122290.0423000001</v>
      </c>
      <c r="Y11" s="51">
        <v>-1042944.6404</v>
      </c>
      <c r="Z11" s="42">
        <v>79402.049599999998</v>
      </c>
      <c r="AA11" s="42">
        <v>1122295.1406</v>
      </c>
      <c r="AB11" s="51">
        <v>-1042893.091</v>
      </c>
      <c r="AC11" s="42">
        <v>79487.021099999998</v>
      </c>
      <c r="AD11" s="42">
        <v>1122302.7881</v>
      </c>
      <c r="AE11" s="51">
        <v>-1042815.7669</v>
      </c>
      <c r="AF11" s="42">
        <v>79571.992599999998</v>
      </c>
      <c r="AG11" s="42">
        <v>1122310.4354999999</v>
      </c>
      <c r="AH11" s="51">
        <v>-1042738.4429</v>
      </c>
      <c r="AI11" s="42">
        <v>79656.964099999997</v>
      </c>
      <c r="AJ11" s="42">
        <v>1122318.0829</v>
      </c>
      <c r="AK11" s="51">
        <v>-1042661.1188000001</v>
      </c>
      <c r="AL11" s="42">
        <v>79741.935700000002</v>
      </c>
      <c r="AM11" s="42">
        <v>1122325.7304</v>
      </c>
      <c r="AN11" s="51">
        <v>-1042583.7947</v>
      </c>
      <c r="AO11" s="42">
        <v>79798.583299999998</v>
      </c>
      <c r="AP11" s="42">
        <v>1122330.8287</v>
      </c>
      <c r="AQ11" s="51">
        <v>-1042532.2453</v>
      </c>
      <c r="AR11" s="42">
        <v>79883.554799999998</v>
      </c>
      <c r="AS11" s="42">
        <v>1122338.4761000001</v>
      </c>
      <c r="AT11" s="51">
        <v>-1042454.9213</v>
      </c>
      <c r="AU11" s="42">
        <v>79968.526400000002</v>
      </c>
      <c r="AV11" s="42">
        <v>1122346.1235</v>
      </c>
      <c r="AW11" s="51">
        <v>-1042377.5972</v>
      </c>
      <c r="AX11" s="42">
        <v>80053.497900000002</v>
      </c>
      <c r="AY11" s="42">
        <v>1122353.7709999999</v>
      </c>
      <c r="AZ11" s="51">
        <v>-1042300.2731</v>
      </c>
      <c r="BA11" s="42">
        <v>80138.469400000002</v>
      </c>
      <c r="BB11" s="42">
        <v>1122361.4184000001</v>
      </c>
      <c r="BC11" s="51">
        <v>-1042222.949</v>
      </c>
      <c r="BD11" s="42">
        <v>80223.440900000001</v>
      </c>
      <c r="BE11" s="42">
        <v>1122369.0658</v>
      </c>
      <c r="BF11" s="51">
        <v>-1042145.6249000001</v>
      </c>
      <c r="BG11" s="42">
        <v>80308.412400000001</v>
      </c>
      <c r="BH11" s="42">
        <v>1122376.7132999999</v>
      </c>
      <c r="BI11" s="51">
        <v>-1042068.3009</v>
      </c>
      <c r="BJ11" s="42">
        <v>80393.383900000001</v>
      </c>
      <c r="BK11" s="42">
        <v>1122384.3607000001</v>
      </c>
      <c r="BL11" s="51">
        <v>-1041990.9767999999</v>
      </c>
      <c r="BM11" s="42">
        <v>80478.3554</v>
      </c>
      <c r="BN11" s="42">
        <v>1122392.0081</v>
      </c>
      <c r="BO11" s="51">
        <v>-1041913.6527</v>
      </c>
      <c r="BP11" s="42">
        <v>80563.3269</v>
      </c>
      <c r="BQ11" s="42">
        <v>1122399.6555999999</v>
      </c>
      <c r="BR11" s="51">
        <v>-1041836.3286</v>
      </c>
      <c r="BS11" s="42">
        <v>80648.298500000004</v>
      </c>
      <c r="BT11" s="42">
        <v>1122407.3030000001</v>
      </c>
      <c r="BU11" s="51">
        <v>-1041759.0046</v>
      </c>
      <c r="BV11" s="42">
        <v>80733.27</v>
      </c>
      <c r="BW11" s="42">
        <v>1122414.9505</v>
      </c>
      <c r="BX11" s="51">
        <v>-1041681.6805</v>
      </c>
      <c r="BY11" s="42">
        <v>80818.241500000004</v>
      </c>
      <c r="BZ11" s="42">
        <v>1122422.5978999999</v>
      </c>
      <c r="CA11" s="51">
        <v>-1041604.3564</v>
      </c>
      <c r="CB11" s="42">
        <v>80903.213000000003</v>
      </c>
      <c r="CC11" s="42">
        <v>1122430.2453000001</v>
      </c>
      <c r="CD11" s="51">
        <v>-1041527.0323</v>
      </c>
      <c r="CE11" s="42">
        <v>80988.184500000003</v>
      </c>
      <c r="CF11" s="42">
        <v>1122437.8928</v>
      </c>
      <c r="CG11" s="51">
        <v>-1041449.7083000001</v>
      </c>
      <c r="CH11" s="42">
        <v>81073.156000000003</v>
      </c>
      <c r="CI11" s="42">
        <v>1122445.5401999999</v>
      </c>
      <c r="CJ11" s="51">
        <v>-1041372.3842</v>
      </c>
      <c r="CK11" s="42">
        <v>81174.609200000006</v>
      </c>
      <c r="CL11" s="42">
        <v>1122454.6710000001</v>
      </c>
      <c r="CM11" s="51">
        <v>-1041280.0618</v>
      </c>
      <c r="CN11" s="42">
        <v>81222.974337301581</v>
      </c>
      <c r="CO11" s="42">
        <v>1122459.0238547619</v>
      </c>
      <c r="CP11" s="51">
        <v>-1041236.0495174603</v>
      </c>
      <c r="CQ11" s="42">
        <v>81307.412801360551</v>
      </c>
      <c r="CR11" s="42">
        <v>1122466.6233173469</v>
      </c>
      <c r="CS11" s="51">
        <v>-1041159.2105159863</v>
      </c>
      <c r="CT11" s="42">
        <v>81392.609211576317</v>
      </c>
      <c r="CU11" s="42">
        <v>1122474.2909924062</v>
      </c>
      <c r="CV11" s="51">
        <v>-1041081.6817808299</v>
      </c>
      <c r="CW11" s="64">
        <f t="shared" si="0"/>
        <v>-32426999.005864277</v>
      </c>
    </row>
    <row r="12" spans="1:101" x14ac:dyDescent="0.25">
      <c r="A12" t="s">
        <v>154</v>
      </c>
      <c r="B12">
        <v>2025</v>
      </c>
      <c r="C12">
        <v>0</v>
      </c>
      <c r="E12" s="42">
        <v>78948.868199999997</v>
      </c>
      <c r="F12" s="42">
        <v>1331907.3647</v>
      </c>
      <c r="G12" s="42">
        <v>-1252958.4964999999</v>
      </c>
      <c r="H12" s="51">
        <v>-1292432.9306000001</v>
      </c>
      <c r="I12" s="42">
        <v>79118.811199999996</v>
      </c>
      <c r="J12" s="42">
        <v>1331922.6595999999</v>
      </c>
      <c r="K12" s="42">
        <v>-1252803.8483</v>
      </c>
      <c r="L12" s="51">
        <v>-1292363.254</v>
      </c>
      <c r="M12" s="42">
        <v>79317.078099999999</v>
      </c>
      <c r="N12" s="42">
        <v>1331940.5035999999</v>
      </c>
      <c r="O12" s="42">
        <v>-1252623.4254999999</v>
      </c>
      <c r="P12" s="51">
        <v>-1292281.9645499999</v>
      </c>
      <c r="Q12" s="42">
        <v>79515.345000000001</v>
      </c>
      <c r="R12" s="42">
        <v>1331958.3476</v>
      </c>
      <c r="S12" s="51">
        <v>-1252443.0027000001</v>
      </c>
      <c r="T12" s="42">
        <v>79685.288</v>
      </c>
      <c r="U12" s="42">
        <v>1331973.6425000001</v>
      </c>
      <c r="V12" s="51">
        <v>-1252288.3544999999</v>
      </c>
      <c r="W12" s="42">
        <v>79883.554799999998</v>
      </c>
      <c r="X12" s="42">
        <v>1331991.4865000001</v>
      </c>
      <c r="Y12" s="51">
        <v>-1252107.9317000001</v>
      </c>
      <c r="Z12" s="42">
        <v>80081.8217</v>
      </c>
      <c r="AA12" s="42">
        <v>1332009.3304999999</v>
      </c>
      <c r="AB12" s="51">
        <v>-1251927.5088</v>
      </c>
      <c r="AC12" s="42">
        <v>80280.088600000003</v>
      </c>
      <c r="AD12" s="42">
        <v>1332027.1745</v>
      </c>
      <c r="AE12" s="51">
        <v>-1251747.0859999999</v>
      </c>
      <c r="AF12" s="42">
        <v>80478.3554</v>
      </c>
      <c r="AG12" s="42">
        <v>1332045.0186000001</v>
      </c>
      <c r="AH12" s="51">
        <v>-1251566.6631</v>
      </c>
      <c r="AI12" s="42">
        <v>80676.622300000003</v>
      </c>
      <c r="AJ12" s="42">
        <v>1332062.8626000001</v>
      </c>
      <c r="AK12" s="51">
        <v>-1251386.2402999999</v>
      </c>
      <c r="AL12" s="42">
        <v>80874.889200000005</v>
      </c>
      <c r="AM12" s="42">
        <v>1332080.7065999999</v>
      </c>
      <c r="AN12" s="51">
        <v>-1251205.8174000001</v>
      </c>
      <c r="AO12" s="42">
        <v>81101.479900000006</v>
      </c>
      <c r="AP12" s="42">
        <v>1332101.0998</v>
      </c>
      <c r="AQ12" s="51">
        <v>-1250999.6199</v>
      </c>
      <c r="AR12" s="42">
        <v>81316.228400000007</v>
      </c>
      <c r="AS12" s="42">
        <v>1332120.4271</v>
      </c>
      <c r="AT12" s="51">
        <v>-1250804.1987000001</v>
      </c>
      <c r="AU12" s="42">
        <v>81542.819099999993</v>
      </c>
      <c r="AV12" s="42">
        <v>1332140.8203</v>
      </c>
      <c r="AW12" s="51">
        <v>-1250598.0012000001</v>
      </c>
      <c r="AX12" s="42">
        <v>81741.085999999996</v>
      </c>
      <c r="AY12" s="42">
        <v>1332158.6643000001</v>
      </c>
      <c r="AZ12" s="51">
        <v>-1250417.5782999999</v>
      </c>
      <c r="BA12" s="42">
        <v>81967.676699999996</v>
      </c>
      <c r="BB12" s="42">
        <v>1332179.0575000001</v>
      </c>
      <c r="BC12" s="51">
        <v>-1250211.3807999999</v>
      </c>
      <c r="BD12" s="42">
        <v>82194.267399999997</v>
      </c>
      <c r="BE12" s="42">
        <v>1332199.4506000001</v>
      </c>
      <c r="BF12" s="51">
        <v>-1250005.1832999999</v>
      </c>
      <c r="BG12" s="42">
        <v>82420.858099999998</v>
      </c>
      <c r="BH12" s="42">
        <v>1332219.8437999999</v>
      </c>
      <c r="BI12" s="51">
        <v>-1249798.9857000001</v>
      </c>
      <c r="BJ12" s="42">
        <v>82647.448799999998</v>
      </c>
      <c r="BK12" s="42">
        <v>1332240.237</v>
      </c>
      <c r="BL12" s="51">
        <v>-1249592.7882000001</v>
      </c>
      <c r="BM12" s="42">
        <v>82874.039499999999</v>
      </c>
      <c r="BN12" s="42">
        <v>1332260.6301</v>
      </c>
      <c r="BO12" s="51">
        <v>-1249386.5907000001</v>
      </c>
      <c r="BP12" s="42">
        <v>83100.6302</v>
      </c>
      <c r="BQ12" s="42">
        <v>1332281.0233</v>
      </c>
      <c r="BR12" s="51">
        <v>-1249180.3931</v>
      </c>
      <c r="BS12" s="42">
        <v>83355.544699999999</v>
      </c>
      <c r="BT12" s="42">
        <v>1332303.9656</v>
      </c>
      <c r="BU12" s="51">
        <v>-1248948.4209</v>
      </c>
      <c r="BV12" s="42">
        <v>83582.135399999999</v>
      </c>
      <c r="BW12" s="42">
        <v>1332324.3588</v>
      </c>
      <c r="BX12" s="51">
        <v>-1248742.2234</v>
      </c>
      <c r="BY12" s="42">
        <v>83837.049899999998</v>
      </c>
      <c r="BZ12" s="42">
        <v>1332347.3011</v>
      </c>
      <c r="CA12" s="51">
        <v>-1248510.2511</v>
      </c>
      <c r="CB12" s="42">
        <v>84063.640599999999</v>
      </c>
      <c r="CC12" s="42">
        <v>1332367.6942</v>
      </c>
      <c r="CD12" s="51">
        <v>-1248304.0536</v>
      </c>
      <c r="CE12" s="42">
        <v>84318.555200000003</v>
      </c>
      <c r="CF12" s="42">
        <v>1332390.6365</v>
      </c>
      <c r="CG12" s="51">
        <v>-1248072.0814</v>
      </c>
      <c r="CH12" s="42">
        <v>84573.469700000001</v>
      </c>
      <c r="CI12" s="42">
        <v>1332413.5788</v>
      </c>
      <c r="CJ12" s="51">
        <v>-1247840.1091</v>
      </c>
      <c r="CK12" s="42">
        <v>84828.3842</v>
      </c>
      <c r="CL12" s="42">
        <v>1332436.5212000001</v>
      </c>
      <c r="CM12" s="51">
        <v>-1247608.1369</v>
      </c>
      <c r="CN12" s="42">
        <v>84883.557259523834</v>
      </c>
      <c r="CO12" s="42">
        <v>1332441.4867285716</v>
      </c>
      <c r="CP12" s="51">
        <v>-1247557.9294690478</v>
      </c>
      <c r="CQ12" s="42">
        <v>85114.245167233574</v>
      </c>
      <c r="CR12" s="42">
        <v>1332462.2486397962</v>
      </c>
      <c r="CS12" s="51">
        <v>-1247348.0034725626</v>
      </c>
      <c r="CT12" s="42">
        <v>85344.275323191367</v>
      </c>
      <c r="CU12" s="42">
        <v>1332482.9513555721</v>
      </c>
      <c r="CV12" s="51">
        <v>-1247138.6760323807</v>
      </c>
      <c r="CW12" s="64">
        <f t="shared" si="0"/>
        <v>-38872815.358923987</v>
      </c>
    </row>
    <row r="13" spans="1:101" x14ac:dyDescent="0.25">
      <c r="A13" t="s">
        <v>63</v>
      </c>
      <c r="B13">
        <v>2025</v>
      </c>
      <c r="C13">
        <v>3</v>
      </c>
      <c r="E13" s="42">
        <v>1026509.9381</v>
      </c>
      <c r="F13" s="42">
        <v>1679346.8485000001</v>
      </c>
      <c r="G13" s="42">
        <v>-652836.91040000005</v>
      </c>
      <c r="H13" s="51">
        <v>-1166091.8794500001</v>
      </c>
      <c r="I13" s="42">
        <v>1058801.1893</v>
      </c>
      <c r="J13" s="42">
        <v>1682253.0611</v>
      </c>
      <c r="K13" s="42">
        <v>-623451.87179999996</v>
      </c>
      <c r="L13" s="51">
        <v>-1152852.4664500002</v>
      </c>
      <c r="M13" s="42">
        <v>1083015.5072000001</v>
      </c>
      <c r="N13" s="42">
        <v>1684432.3496999999</v>
      </c>
      <c r="O13" s="42">
        <v>-601416.84250000003</v>
      </c>
      <c r="P13" s="51">
        <v>-1142924.5960999997</v>
      </c>
      <c r="Q13" s="42">
        <v>1107229.8252000001</v>
      </c>
      <c r="R13" s="42">
        <v>1686611.6383</v>
      </c>
      <c r="S13" s="51">
        <v>-579381.81310000003</v>
      </c>
      <c r="T13" s="42">
        <v>1131444.1431</v>
      </c>
      <c r="U13" s="42">
        <v>1688790.9269000001</v>
      </c>
      <c r="V13" s="51">
        <v>-557346.78379999998</v>
      </c>
      <c r="W13" s="42">
        <v>1155674.9427</v>
      </c>
      <c r="X13" s="42">
        <v>1690971.6989</v>
      </c>
      <c r="Y13" s="51">
        <v>-535296.75619999995</v>
      </c>
      <c r="Z13" s="42">
        <v>1179889.2607</v>
      </c>
      <c r="AA13" s="42">
        <v>1693150.9875</v>
      </c>
      <c r="AB13" s="51">
        <v>-513261.7268</v>
      </c>
      <c r="AC13" s="42">
        <v>1204103.5785999999</v>
      </c>
      <c r="AD13" s="42">
        <v>1695330.2760999999</v>
      </c>
      <c r="AE13" s="51">
        <v>-491226.69750000001</v>
      </c>
      <c r="AF13" s="42">
        <v>1228317.8966000001</v>
      </c>
      <c r="AG13" s="42">
        <v>1697509.5647</v>
      </c>
      <c r="AH13" s="51">
        <v>-469191.66820000001</v>
      </c>
      <c r="AI13" s="42">
        <v>1252532.2145</v>
      </c>
      <c r="AJ13" s="42">
        <v>1699688.8533000001</v>
      </c>
      <c r="AK13" s="51">
        <v>-447156.63880000002</v>
      </c>
      <c r="AL13" s="42">
        <v>1276746.5323999999</v>
      </c>
      <c r="AM13" s="42">
        <v>1701868.142</v>
      </c>
      <c r="AN13" s="51">
        <v>-425121.60950000002</v>
      </c>
      <c r="AO13" s="42">
        <v>1300977.3321</v>
      </c>
      <c r="AP13" s="42">
        <v>1704048.9139</v>
      </c>
      <c r="AQ13" s="51">
        <v>-403071.58179999999</v>
      </c>
      <c r="AR13" s="42">
        <v>1325191.6499999999</v>
      </c>
      <c r="AS13" s="42">
        <v>1706228.2024999999</v>
      </c>
      <c r="AT13" s="51">
        <v>-381036.55249999999</v>
      </c>
      <c r="AU13" s="42">
        <v>1349405.9680000001</v>
      </c>
      <c r="AV13" s="42">
        <v>1708407.4911</v>
      </c>
      <c r="AW13" s="51">
        <v>-359001.5232</v>
      </c>
      <c r="AX13" s="42">
        <v>1373620.2859</v>
      </c>
      <c r="AY13" s="42">
        <v>1710586.7797999999</v>
      </c>
      <c r="AZ13" s="51">
        <v>-336966.4939</v>
      </c>
      <c r="BA13" s="42">
        <v>1397834.6039</v>
      </c>
      <c r="BB13" s="42">
        <v>1712766.0684</v>
      </c>
      <c r="BC13" s="51">
        <v>-314931.4645</v>
      </c>
      <c r="BD13" s="42">
        <v>1422048.9217999999</v>
      </c>
      <c r="BE13" s="42">
        <v>1714945.3570000001</v>
      </c>
      <c r="BF13" s="51">
        <v>-292896.43520000001</v>
      </c>
      <c r="BG13" s="42">
        <v>1446279.7213999999</v>
      </c>
      <c r="BH13" s="42">
        <v>1717126.129</v>
      </c>
      <c r="BI13" s="51">
        <v>-270846.40749999997</v>
      </c>
      <c r="BJ13" s="42">
        <v>1470494.0393999999</v>
      </c>
      <c r="BK13" s="42">
        <v>1719305.4176</v>
      </c>
      <c r="BL13" s="51">
        <v>-248811.37820000001</v>
      </c>
      <c r="BM13" s="42">
        <v>1494708.3573</v>
      </c>
      <c r="BN13" s="42">
        <v>1721484.7061999999</v>
      </c>
      <c r="BO13" s="51">
        <v>-226776.34890000001</v>
      </c>
      <c r="BP13" s="42">
        <v>1518922.6753</v>
      </c>
      <c r="BQ13" s="42">
        <v>1723663.9948</v>
      </c>
      <c r="BR13" s="51">
        <v>-204741.31950000001</v>
      </c>
      <c r="BS13" s="42">
        <v>1543136.9931999999</v>
      </c>
      <c r="BT13" s="42">
        <v>1725843.2834000001</v>
      </c>
      <c r="BU13" s="51">
        <v>-182706.29019999999</v>
      </c>
      <c r="BV13" s="42">
        <v>1567351.3112000001</v>
      </c>
      <c r="BW13" s="42">
        <v>1728022.5719999999</v>
      </c>
      <c r="BX13" s="51">
        <v>-160671.26089999999</v>
      </c>
      <c r="BY13" s="42">
        <v>1591582.1107999999</v>
      </c>
      <c r="BZ13" s="42">
        <v>1730203.344</v>
      </c>
      <c r="CA13" s="51">
        <v>-138621.23319999999</v>
      </c>
      <c r="CB13" s="42">
        <v>1615796.4287</v>
      </c>
      <c r="CC13" s="42">
        <v>1732382.6325999999</v>
      </c>
      <c r="CD13" s="51">
        <v>-116586.20389999999</v>
      </c>
      <c r="CE13" s="42">
        <v>1640010.7467</v>
      </c>
      <c r="CF13" s="42">
        <v>1734561.9212</v>
      </c>
      <c r="CG13" s="51">
        <v>-94551.174599999998</v>
      </c>
      <c r="CH13" s="42">
        <v>1664225.0645999999</v>
      </c>
      <c r="CI13" s="42">
        <v>1736741.2098000001</v>
      </c>
      <c r="CJ13" s="51">
        <v>-72516.145199999999</v>
      </c>
      <c r="CK13" s="42">
        <v>1688439.3825999999</v>
      </c>
      <c r="CL13" s="42">
        <v>1738920.4985</v>
      </c>
      <c r="CM13" s="51">
        <v>-50481.115899999997</v>
      </c>
      <c r="CN13" s="42">
        <v>1713237.1646666676</v>
      </c>
      <c r="CO13" s="42">
        <v>1741152.2988365078</v>
      </c>
      <c r="CP13" s="51">
        <v>-27915.134169840254</v>
      </c>
      <c r="CQ13" s="42">
        <v>1736960.003743656</v>
      </c>
      <c r="CR13" s="42">
        <v>1743287.3543544211</v>
      </c>
      <c r="CS13" s="51">
        <v>-6327.3506107651629</v>
      </c>
      <c r="CT13" s="42">
        <v>1761184.4014620632</v>
      </c>
      <c r="CU13" s="42">
        <v>1745467.5501500014</v>
      </c>
      <c r="CV13" s="51">
        <v>15716.851312061772</v>
      </c>
      <c r="CW13" s="64">
        <f t="shared" si="0"/>
        <v>-11353591.198468544</v>
      </c>
    </row>
    <row r="14" spans="1:101" x14ac:dyDescent="0.25">
      <c r="A14" t="s">
        <v>157</v>
      </c>
      <c r="B14">
        <v>2025</v>
      </c>
      <c r="C14">
        <v>0</v>
      </c>
      <c r="E14" s="42">
        <v>78948.868199999997</v>
      </c>
      <c r="F14" s="42">
        <v>1331907.3647</v>
      </c>
      <c r="G14" s="42">
        <v>-1252958.4964999999</v>
      </c>
      <c r="H14" s="51">
        <v>-1292432.9306000001</v>
      </c>
      <c r="I14" s="42">
        <v>79090.487399999998</v>
      </c>
      <c r="J14" s="42">
        <v>1331920.1103999999</v>
      </c>
      <c r="K14" s="42">
        <v>-1252829.6229999999</v>
      </c>
      <c r="L14" s="51">
        <v>-1292374.8666999999</v>
      </c>
      <c r="M14" s="42">
        <v>79260.430399999997</v>
      </c>
      <c r="N14" s="42">
        <v>1331935.4053</v>
      </c>
      <c r="O14" s="42">
        <v>-1252674.9749</v>
      </c>
      <c r="P14" s="51">
        <v>-1292305.1901</v>
      </c>
      <c r="Q14" s="42">
        <v>79402.049599999998</v>
      </c>
      <c r="R14" s="42">
        <v>1331948.1510000001</v>
      </c>
      <c r="S14" s="51">
        <v>-1252546.1014</v>
      </c>
      <c r="T14" s="42">
        <v>79571.992599999998</v>
      </c>
      <c r="U14" s="42">
        <v>1331963.4458999999</v>
      </c>
      <c r="V14" s="51">
        <v>-1252391.4532999999</v>
      </c>
      <c r="W14" s="42">
        <v>79741.935700000002</v>
      </c>
      <c r="X14" s="42">
        <v>1331978.7408</v>
      </c>
      <c r="Y14" s="51">
        <v>-1252236.8051</v>
      </c>
      <c r="Z14" s="42">
        <v>79883.554799999998</v>
      </c>
      <c r="AA14" s="42">
        <v>1331991.4865000001</v>
      </c>
      <c r="AB14" s="51">
        <v>-1252107.9317000001</v>
      </c>
      <c r="AC14" s="42">
        <v>80053.497900000002</v>
      </c>
      <c r="AD14" s="42">
        <v>1332006.7814</v>
      </c>
      <c r="AE14" s="51">
        <v>-1251953.2834999999</v>
      </c>
      <c r="AF14" s="42">
        <v>80223.440900000001</v>
      </c>
      <c r="AG14" s="42">
        <v>1332022.0762</v>
      </c>
      <c r="AH14" s="51">
        <v>-1251798.6354</v>
      </c>
      <c r="AI14" s="42">
        <v>80393.383900000001</v>
      </c>
      <c r="AJ14" s="42">
        <v>1332037.3711000001</v>
      </c>
      <c r="AK14" s="51">
        <v>-1251643.9872000001</v>
      </c>
      <c r="AL14" s="42">
        <v>80563.3269</v>
      </c>
      <c r="AM14" s="42">
        <v>1332052.666</v>
      </c>
      <c r="AN14" s="51">
        <v>-1251489.3391</v>
      </c>
      <c r="AO14" s="42">
        <v>80733.27</v>
      </c>
      <c r="AP14" s="42">
        <v>1332067.9609000001</v>
      </c>
      <c r="AQ14" s="51">
        <v>-1251334.6909</v>
      </c>
      <c r="AR14" s="42">
        <v>80903.213000000003</v>
      </c>
      <c r="AS14" s="42">
        <v>1332083.2557000001</v>
      </c>
      <c r="AT14" s="51">
        <v>-1251180.0427000001</v>
      </c>
      <c r="AU14" s="42">
        <v>81073.156000000003</v>
      </c>
      <c r="AV14" s="42">
        <v>1332098.5506</v>
      </c>
      <c r="AW14" s="51">
        <v>-1251025.3946</v>
      </c>
      <c r="AX14" s="42">
        <v>81259.580700000006</v>
      </c>
      <c r="AY14" s="42">
        <v>1332115.3288</v>
      </c>
      <c r="AZ14" s="51">
        <v>-1250855.7481</v>
      </c>
      <c r="BA14" s="42">
        <v>81457.847599999994</v>
      </c>
      <c r="BB14" s="42">
        <v>1332133.1728999999</v>
      </c>
      <c r="BC14" s="51">
        <v>-1250675.3252999999</v>
      </c>
      <c r="BD14" s="42">
        <v>81627.790599999993</v>
      </c>
      <c r="BE14" s="42">
        <v>1332148.4676999999</v>
      </c>
      <c r="BF14" s="51">
        <v>-1250520.6771</v>
      </c>
      <c r="BG14" s="42">
        <v>81826.057499999995</v>
      </c>
      <c r="BH14" s="42">
        <v>1332166.3117</v>
      </c>
      <c r="BI14" s="51">
        <v>-1250340.2542999999</v>
      </c>
      <c r="BJ14" s="42">
        <v>81996.000499999995</v>
      </c>
      <c r="BK14" s="42">
        <v>1332181.6066000001</v>
      </c>
      <c r="BL14" s="51">
        <v>-1250185.6061</v>
      </c>
      <c r="BM14" s="42">
        <v>82194.267399999997</v>
      </c>
      <c r="BN14" s="42">
        <v>1332199.4506000001</v>
      </c>
      <c r="BO14" s="51">
        <v>-1250005.1832999999</v>
      </c>
      <c r="BP14" s="42">
        <v>82364.210399999996</v>
      </c>
      <c r="BQ14" s="42">
        <v>1332214.7455</v>
      </c>
      <c r="BR14" s="51">
        <v>-1249850.5351</v>
      </c>
      <c r="BS14" s="42">
        <v>82562.477199999994</v>
      </c>
      <c r="BT14" s="42">
        <v>1332232.5895</v>
      </c>
      <c r="BU14" s="51">
        <v>-1249670.1122999999</v>
      </c>
      <c r="BV14" s="42">
        <v>82760.744099999996</v>
      </c>
      <c r="BW14" s="42">
        <v>1332250.4335</v>
      </c>
      <c r="BX14" s="51">
        <v>-1249489.6894</v>
      </c>
      <c r="BY14" s="42">
        <v>82959.010999999999</v>
      </c>
      <c r="BZ14" s="42">
        <v>1332268.2775999999</v>
      </c>
      <c r="CA14" s="51">
        <v>-1249309.2666</v>
      </c>
      <c r="CB14" s="42">
        <v>83157.277799999996</v>
      </c>
      <c r="CC14" s="42">
        <v>1332286.1216</v>
      </c>
      <c r="CD14" s="51">
        <v>-1249128.8437000001</v>
      </c>
      <c r="CE14" s="42">
        <v>83355.544699999999</v>
      </c>
      <c r="CF14" s="42">
        <v>1332303.9656</v>
      </c>
      <c r="CG14" s="51">
        <v>-1248948.4209</v>
      </c>
      <c r="CH14" s="42">
        <v>83553.811600000001</v>
      </c>
      <c r="CI14" s="42">
        <v>1332321.8096</v>
      </c>
      <c r="CJ14" s="51">
        <v>-1248767.9979999999</v>
      </c>
      <c r="CK14" s="42">
        <v>83752.078399999999</v>
      </c>
      <c r="CL14" s="42">
        <v>1332339.6536000001</v>
      </c>
      <c r="CM14" s="51">
        <v>-1248587.5752000001</v>
      </c>
      <c r="CN14" s="42">
        <v>83823.420000793703</v>
      </c>
      <c r="CO14" s="42">
        <v>1332346.0743634922</v>
      </c>
      <c r="CP14" s="51">
        <v>-1248522.6543626986</v>
      </c>
      <c r="CQ14" s="42">
        <v>84011.046470748261</v>
      </c>
      <c r="CR14" s="42">
        <v>1332362.9607463719</v>
      </c>
      <c r="CS14" s="51">
        <v>-1248351.9142756236</v>
      </c>
      <c r="CT14" s="42">
        <v>84198.029422118736</v>
      </c>
      <c r="CU14" s="42">
        <v>1332379.7892104287</v>
      </c>
      <c r="CV14" s="51">
        <v>-1248181.7597883099</v>
      </c>
      <c r="CW14" s="64">
        <f t="shared" si="0"/>
        <v>-38888212.216126636</v>
      </c>
    </row>
    <row r="15" spans="1:101" x14ac:dyDescent="0.25">
      <c r="A15" t="s">
        <v>67</v>
      </c>
      <c r="B15">
        <v>2025</v>
      </c>
      <c r="C15">
        <v>1</v>
      </c>
      <c r="E15" s="42">
        <v>205831.4841</v>
      </c>
      <c r="F15" s="42">
        <v>1116942.1797</v>
      </c>
      <c r="G15" s="42">
        <v>-911110.69559999998</v>
      </c>
      <c r="H15" s="51">
        <v>-1014026.43765</v>
      </c>
      <c r="I15" s="42">
        <v>214729.80859999999</v>
      </c>
      <c r="J15" s="42">
        <v>1117743.0289</v>
      </c>
      <c r="K15" s="42">
        <v>-903013.22030000004</v>
      </c>
      <c r="L15" s="51">
        <v>-1010378.1246</v>
      </c>
      <c r="M15" s="42">
        <v>222296.91279999999</v>
      </c>
      <c r="N15" s="42">
        <v>1118424.0682999999</v>
      </c>
      <c r="O15" s="42">
        <v>-896127.15549999999</v>
      </c>
      <c r="P15" s="51">
        <v>-1007275.6118999999</v>
      </c>
      <c r="Q15" s="42">
        <v>229252.7346</v>
      </c>
      <c r="R15" s="42">
        <v>1119050.0922999999</v>
      </c>
      <c r="S15" s="51">
        <v>-889797.35759999999</v>
      </c>
      <c r="T15" s="42">
        <v>235941.79980000001</v>
      </c>
      <c r="U15" s="42">
        <v>1119652.1081000001</v>
      </c>
      <c r="V15" s="51">
        <v>-883710.30830000003</v>
      </c>
      <c r="W15" s="42">
        <v>242331.14490000001</v>
      </c>
      <c r="X15" s="42">
        <v>1120227.1492000001</v>
      </c>
      <c r="Y15" s="51">
        <v>-877896.00430000003</v>
      </c>
      <c r="Z15" s="42">
        <v>248408.9278</v>
      </c>
      <c r="AA15" s="42">
        <v>1120774.1495999999</v>
      </c>
      <c r="AB15" s="51">
        <v>-872365.22180000006</v>
      </c>
      <c r="AC15" s="42">
        <v>254146.8247</v>
      </c>
      <c r="AD15" s="42">
        <v>1121290.5604000001</v>
      </c>
      <c r="AE15" s="51">
        <v>-867143.73569999996</v>
      </c>
      <c r="AF15" s="42">
        <v>259289.9209</v>
      </c>
      <c r="AG15" s="42">
        <v>1121753.439</v>
      </c>
      <c r="AH15" s="51">
        <v>-862463.51809999999</v>
      </c>
      <c r="AI15" s="42">
        <v>264449.49890000001</v>
      </c>
      <c r="AJ15" s="42">
        <v>1122217.801</v>
      </c>
      <c r="AK15" s="51">
        <v>-857768.30209999997</v>
      </c>
      <c r="AL15" s="42">
        <v>269620.91899999999</v>
      </c>
      <c r="AM15" s="42">
        <v>1122683.2289</v>
      </c>
      <c r="AN15" s="51">
        <v>-853062.30989999999</v>
      </c>
      <c r="AO15" s="42">
        <v>274905.63449999999</v>
      </c>
      <c r="AP15" s="42">
        <v>1123158.8532</v>
      </c>
      <c r="AQ15" s="51">
        <v>-848253.21880000003</v>
      </c>
      <c r="AR15" s="42">
        <v>280048.73070000001</v>
      </c>
      <c r="AS15" s="42">
        <v>1123621.7319</v>
      </c>
      <c r="AT15" s="51">
        <v>-843573.00120000006</v>
      </c>
      <c r="AU15" s="42">
        <v>285248.47470000002</v>
      </c>
      <c r="AV15" s="42">
        <v>1124089.7089</v>
      </c>
      <c r="AW15" s="51">
        <v>-838841.23419999995</v>
      </c>
      <c r="AX15" s="42">
        <v>290533.19010000001</v>
      </c>
      <c r="AY15" s="42">
        <v>1124565.3333000001</v>
      </c>
      <c r="AZ15" s="51">
        <v>-834032.14309999999</v>
      </c>
      <c r="BA15" s="42">
        <v>295874.55320000002</v>
      </c>
      <c r="BB15" s="42">
        <v>1125046.0559</v>
      </c>
      <c r="BC15" s="51">
        <v>-829171.50269999995</v>
      </c>
      <c r="BD15" s="42">
        <v>301045.97330000001</v>
      </c>
      <c r="BE15" s="42">
        <v>1125511.4837</v>
      </c>
      <c r="BF15" s="51">
        <v>-824465.51040000003</v>
      </c>
      <c r="BG15" s="42">
        <v>306460.46580000001</v>
      </c>
      <c r="BH15" s="42">
        <v>1125998.7881</v>
      </c>
      <c r="BI15" s="51">
        <v>-819538.32220000005</v>
      </c>
      <c r="BJ15" s="42">
        <v>311745.1813</v>
      </c>
      <c r="BK15" s="42">
        <v>1126474.4125000001</v>
      </c>
      <c r="BL15" s="51">
        <v>-814729.23120000004</v>
      </c>
      <c r="BM15" s="42">
        <v>317058.2206</v>
      </c>
      <c r="BN15" s="42">
        <v>1126952.5859999999</v>
      </c>
      <c r="BO15" s="51">
        <v>-809894.36540000001</v>
      </c>
      <c r="BP15" s="42">
        <v>322371.2599</v>
      </c>
      <c r="BQ15" s="42">
        <v>1127430.7594999999</v>
      </c>
      <c r="BR15" s="51">
        <v>-805059.49970000004</v>
      </c>
      <c r="BS15" s="42">
        <v>327627.65149999998</v>
      </c>
      <c r="BT15" s="42">
        <v>1127903.8348000001</v>
      </c>
      <c r="BU15" s="51">
        <v>-800276.18330000003</v>
      </c>
      <c r="BV15" s="42">
        <v>332770.74770000001</v>
      </c>
      <c r="BW15" s="42">
        <v>1128366.7134</v>
      </c>
      <c r="BX15" s="51">
        <v>-795595.96569999994</v>
      </c>
      <c r="BY15" s="42">
        <v>338027.13939999999</v>
      </c>
      <c r="BZ15" s="42">
        <v>1128839.7886999999</v>
      </c>
      <c r="CA15" s="51">
        <v>-790812.64930000005</v>
      </c>
      <c r="CB15" s="42">
        <v>343056.94030000002</v>
      </c>
      <c r="CC15" s="42">
        <v>1129292.4708</v>
      </c>
      <c r="CD15" s="51">
        <v>-786235.53049999999</v>
      </c>
      <c r="CE15" s="42">
        <v>348058.41739999998</v>
      </c>
      <c r="CF15" s="42">
        <v>1129742.6037000001</v>
      </c>
      <c r="CG15" s="51">
        <v>-781684.18629999994</v>
      </c>
      <c r="CH15" s="42">
        <v>353217.99530000001</v>
      </c>
      <c r="CI15" s="42">
        <v>1130206.9657000001</v>
      </c>
      <c r="CJ15" s="51">
        <v>-776988.97039999999</v>
      </c>
      <c r="CK15" s="42">
        <v>358417.73920000001</v>
      </c>
      <c r="CL15" s="42">
        <v>1130674.9427</v>
      </c>
      <c r="CM15" s="51">
        <v>-772257.2034</v>
      </c>
      <c r="CN15" s="42">
        <v>365928.95815714262</v>
      </c>
      <c r="CO15" s="42">
        <v>1131350.9523825399</v>
      </c>
      <c r="CP15" s="51">
        <v>-765421.99422539724</v>
      </c>
      <c r="CQ15" s="42">
        <v>370788.22638594173</v>
      </c>
      <c r="CR15" s="42">
        <v>1131788.2865229025</v>
      </c>
      <c r="CS15" s="51">
        <v>-761000.06013696082</v>
      </c>
      <c r="CT15" s="42">
        <v>375777.27714697085</v>
      </c>
      <c r="CU15" s="42">
        <v>1132237.3010905988</v>
      </c>
      <c r="CV15" s="51">
        <v>-756460.02394362795</v>
      </c>
      <c r="CW15" s="64">
        <f t="shared" si="0"/>
        <v>-26050177.728055988</v>
      </c>
    </row>
    <row r="16" spans="1:101" x14ac:dyDescent="0.25">
      <c r="A16" t="s">
        <v>128</v>
      </c>
      <c r="B16">
        <v>2025</v>
      </c>
      <c r="C16">
        <v>3</v>
      </c>
      <c r="E16" s="42">
        <v>1735184.5911999999</v>
      </c>
      <c r="F16" s="42">
        <v>4204021.4412000002</v>
      </c>
      <c r="G16" s="42">
        <v>-2468836.85</v>
      </c>
      <c r="H16" s="51">
        <v>-3336429.1456000004</v>
      </c>
      <c r="I16" s="42">
        <v>1864564.8437999999</v>
      </c>
      <c r="J16" s="42">
        <v>4214371.8613999998</v>
      </c>
      <c r="K16" s="42">
        <v>-2349807.0175999999</v>
      </c>
      <c r="L16" s="51">
        <v>-3282089.4394999999</v>
      </c>
      <c r="M16" s="42">
        <v>1991945.89</v>
      </c>
      <c r="N16" s="42">
        <v>4224562.3450999996</v>
      </c>
      <c r="O16" s="42">
        <v>-2232616.4550999999</v>
      </c>
      <c r="P16" s="51">
        <v>-3228589.4000999997</v>
      </c>
      <c r="Q16" s="42">
        <v>2100100.4728000001</v>
      </c>
      <c r="R16" s="42">
        <v>4233214.7116999999</v>
      </c>
      <c r="S16" s="51">
        <v>-2133114.2389000002</v>
      </c>
      <c r="T16" s="42">
        <v>2219058.594</v>
      </c>
      <c r="U16" s="42">
        <v>4242731.3613999998</v>
      </c>
      <c r="V16" s="51">
        <v>-2023672.7674</v>
      </c>
      <c r="W16" s="42">
        <v>2323967.1331000002</v>
      </c>
      <c r="X16" s="42">
        <v>4251124.0444999998</v>
      </c>
      <c r="Y16" s="51">
        <v>-1927156.9114999999</v>
      </c>
      <c r="Z16" s="42">
        <v>2441728.9345</v>
      </c>
      <c r="AA16" s="42">
        <v>4260544.9886999996</v>
      </c>
      <c r="AB16" s="51">
        <v>-1818816.0541000001</v>
      </c>
      <c r="AC16" s="42">
        <v>2538475.7518000002</v>
      </c>
      <c r="AD16" s="42">
        <v>4268284.7340000002</v>
      </c>
      <c r="AE16" s="51">
        <v>-1729808.9822</v>
      </c>
      <c r="AF16" s="42">
        <v>2641391.1724</v>
      </c>
      <c r="AG16" s="42">
        <v>4276517.9676999999</v>
      </c>
      <c r="AH16" s="51">
        <v>-1635126.7953000001</v>
      </c>
      <c r="AI16" s="42">
        <v>2736341.6272999998</v>
      </c>
      <c r="AJ16" s="42">
        <v>4284114.0040999996</v>
      </c>
      <c r="AK16" s="51">
        <v>-1547772.3768</v>
      </c>
      <c r="AL16" s="42">
        <v>2840741.8254</v>
      </c>
      <c r="AM16" s="42">
        <v>4292466.0198999997</v>
      </c>
      <c r="AN16" s="51">
        <v>-1451724.1945</v>
      </c>
      <c r="AO16" s="42">
        <v>2936482.9813999999</v>
      </c>
      <c r="AP16" s="42">
        <v>4300125.3124000002</v>
      </c>
      <c r="AQ16" s="51">
        <v>-1363642.331</v>
      </c>
      <c r="AR16" s="42">
        <v>3043645.4889000002</v>
      </c>
      <c r="AS16" s="42">
        <v>4308698.3130000001</v>
      </c>
      <c r="AT16" s="51">
        <v>-1265052.8241000001</v>
      </c>
      <c r="AU16" s="42">
        <v>3139285.4315999998</v>
      </c>
      <c r="AV16" s="42">
        <v>4316349.5083999997</v>
      </c>
      <c r="AW16" s="51">
        <v>-1177064.0767999999</v>
      </c>
      <c r="AX16" s="42">
        <v>3246639.8456000001</v>
      </c>
      <c r="AY16" s="42">
        <v>4324937.8614999996</v>
      </c>
      <c r="AZ16" s="51">
        <v>-1078298.0160000001</v>
      </c>
      <c r="BA16" s="42">
        <v>3342074.3859999999</v>
      </c>
      <c r="BB16" s="42">
        <v>4332572.6248000003</v>
      </c>
      <c r="BC16" s="51">
        <v>-990498.23880000005</v>
      </c>
      <c r="BD16" s="42">
        <v>3451838.2666000002</v>
      </c>
      <c r="BE16" s="42">
        <v>4341353.7352</v>
      </c>
      <c r="BF16" s="51">
        <v>-889515.46860000002</v>
      </c>
      <c r="BG16" s="42">
        <v>3545960.5301999999</v>
      </c>
      <c r="BH16" s="42">
        <v>4348883.5163000003</v>
      </c>
      <c r="BI16" s="51">
        <v>-802922.98609999998</v>
      </c>
      <c r="BJ16" s="42">
        <v>3654723.2412</v>
      </c>
      <c r="BK16" s="42">
        <v>4357584.5332000004</v>
      </c>
      <c r="BL16" s="51">
        <v>-702861.29200000002</v>
      </c>
      <c r="BM16" s="42">
        <v>3748393.426</v>
      </c>
      <c r="BN16" s="42">
        <v>4365078.148</v>
      </c>
      <c r="BO16" s="51">
        <v>-616684.72199999995</v>
      </c>
      <c r="BP16" s="42">
        <v>3860773.0340999998</v>
      </c>
      <c r="BQ16" s="42">
        <v>4374068.5165999997</v>
      </c>
      <c r="BR16" s="51">
        <v>-513295.48249999998</v>
      </c>
      <c r="BS16" s="42">
        <v>3936189.9024</v>
      </c>
      <c r="BT16" s="42">
        <v>4380101.8661000002</v>
      </c>
      <c r="BU16" s="51">
        <v>-443911.96370000002</v>
      </c>
      <c r="BV16" s="42">
        <v>4030760.2606000002</v>
      </c>
      <c r="BW16" s="42">
        <v>4387667.4946999997</v>
      </c>
      <c r="BX16" s="51">
        <v>-356907.23420000001</v>
      </c>
      <c r="BY16" s="42">
        <v>4311327.4663000004</v>
      </c>
      <c r="BZ16" s="42">
        <v>4410112.8711999999</v>
      </c>
      <c r="CA16" s="51">
        <v>-98785.404899999994</v>
      </c>
      <c r="CB16" s="42">
        <v>4414046.0942000002</v>
      </c>
      <c r="CC16" s="42">
        <v>4418330.3613999998</v>
      </c>
      <c r="CD16" s="51">
        <v>-4284.2672000000002</v>
      </c>
      <c r="CE16" s="42">
        <v>4490578.0059000002</v>
      </c>
      <c r="CF16" s="42">
        <v>4424452.9144000001</v>
      </c>
      <c r="CG16" s="51">
        <v>66125.091499999995</v>
      </c>
      <c r="CH16" s="42">
        <v>4568664.8865999999</v>
      </c>
      <c r="CI16" s="42">
        <v>4430699.8647999996</v>
      </c>
      <c r="CJ16" s="51">
        <v>137965.02179999999</v>
      </c>
      <c r="CK16" s="42">
        <v>4648277.517</v>
      </c>
      <c r="CL16" s="42">
        <v>4437068.8753000004</v>
      </c>
      <c r="CM16" s="51">
        <v>211208.64180000001</v>
      </c>
      <c r="CN16" s="42">
        <v>4753490.6345198452</v>
      </c>
      <c r="CO16" s="42">
        <v>4445485.9246555567</v>
      </c>
      <c r="CP16" s="51">
        <v>308004.70986428857</v>
      </c>
      <c r="CQ16" s="42">
        <v>4857550.2831901312</v>
      </c>
      <c r="CR16" s="42">
        <v>4453810.6965507977</v>
      </c>
      <c r="CS16" s="51">
        <v>403739.58663933352</v>
      </c>
      <c r="CT16" s="42">
        <v>4962789.0601044595</v>
      </c>
      <c r="CU16" s="42">
        <v>4462229.7987052277</v>
      </c>
      <c r="CV16" s="51">
        <v>500559.26139923185</v>
      </c>
      <c r="CW16" s="64">
        <f t="shared" si="0"/>
        <v>-32790422.300797146</v>
      </c>
    </row>
    <row r="17" spans="1:101" x14ac:dyDescent="0.25">
      <c r="A17" t="s">
        <v>71</v>
      </c>
      <c r="B17">
        <v>2025</v>
      </c>
      <c r="C17">
        <v>3</v>
      </c>
      <c r="D17" t="s">
        <v>347</v>
      </c>
      <c r="E17" s="42">
        <v>1633910.1612</v>
      </c>
      <c r="F17" s="42">
        <v>4867122.5055999998</v>
      </c>
      <c r="G17" s="42">
        <v>-3233212.3443999998</v>
      </c>
      <c r="H17" s="51">
        <v>-4050167.4249999998</v>
      </c>
      <c r="I17" s="42">
        <v>1735024.5575000001</v>
      </c>
      <c r="J17" s="42">
        <v>4875211.6573000001</v>
      </c>
      <c r="K17" s="42">
        <v>-3140187.0998</v>
      </c>
      <c r="L17" s="51">
        <v>-4007699.37855</v>
      </c>
      <c r="M17" s="42">
        <v>1822118.6973000001</v>
      </c>
      <c r="N17" s="42">
        <v>4882179.1885000002</v>
      </c>
      <c r="O17" s="42">
        <v>-3060060.4911000002</v>
      </c>
      <c r="P17" s="51">
        <v>-3971119.8398500001</v>
      </c>
      <c r="Q17" s="42">
        <v>1903424.8081</v>
      </c>
      <c r="R17" s="42">
        <v>4888683.6772999996</v>
      </c>
      <c r="S17" s="51">
        <v>-2985258.8692999999</v>
      </c>
      <c r="T17" s="42">
        <v>1980372.8075000001</v>
      </c>
      <c r="U17" s="42">
        <v>4894839.5173000004</v>
      </c>
      <c r="V17" s="51">
        <v>-2914466.7097999998</v>
      </c>
      <c r="W17" s="42">
        <v>2054394.8307</v>
      </c>
      <c r="X17" s="42">
        <v>4900761.2790999999</v>
      </c>
      <c r="Y17" s="51">
        <v>-2846366.4484999999</v>
      </c>
      <c r="Z17" s="42">
        <v>2123657.4424000001</v>
      </c>
      <c r="AA17" s="42">
        <v>4906302.2880999995</v>
      </c>
      <c r="AB17" s="51">
        <v>-2782644.8456999999</v>
      </c>
      <c r="AC17" s="42">
        <v>2188072.2906999998</v>
      </c>
      <c r="AD17" s="42">
        <v>4911455.4759</v>
      </c>
      <c r="AE17" s="51">
        <v>-2723383.1852000002</v>
      </c>
      <c r="AF17" s="42">
        <v>2248651.4780000001</v>
      </c>
      <c r="AG17" s="42">
        <v>4916301.8108999999</v>
      </c>
      <c r="AH17" s="51">
        <v>-2667650.3328999998</v>
      </c>
      <c r="AI17" s="42">
        <v>2308891.9528000001</v>
      </c>
      <c r="AJ17" s="42">
        <v>4921121.0488999998</v>
      </c>
      <c r="AK17" s="51">
        <v>-2612229.0961000002</v>
      </c>
      <c r="AL17" s="42">
        <v>2369133.8533999999</v>
      </c>
      <c r="AM17" s="42">
        <v>4925940.4009999996</v>
      </c>
      <c r="AN17" s="51">
        <v>-2556806.5474999999</v>
      </c>
      <c r="AO17" s="42">
        <v>2430846.6387999998</v>
      </c>
      <c r="AP17" s="42">
        <v>4930877.4238</v>
      </c>
      <c r="AQ17" s="51">
        <v>-2500030.7850000001</v>
      </c>
      <c r="AR17" s="42">
        <v>2491663.2351000002</v>
      </c>
      <c r="AS17" s="42">
        <v>4935742.7515000002</v>
      </c>
      <c r="AT17" s="51">
        <v>-2444079.5164000001</v>
      </c>
      <c r="AU17" s="42">
        <v>2553903.0063999998</v>
      </c>
      <c r="AV17" s="42">
        <v>4940721.9331999999</v>
      </c>
      <c r="AW17" s="51">
        <v>-2386818.9268</v>
      </c>
      <c r="AX17" s="42">
        <v>2616041.8247000002</v>
      </c>
      <c r="AY17" s="42">
        <v>4945693.0387000004</v>
      </c>
      <c r="AZ17" s="51">
        <v>-2329651.2140000002</v>
      </c>
      <c r="BA17" s="42">
        <v>2680059.0962</v>
      </c>
      <c r="BB17" s="42">
        <v>4950814.4204000002</v>
      </c>
      <c r="BC17" s="51">
        <v>-2270755.3242000001</v>
      </c>
      <c r="BD17" s="42">
        <v>2745435.3119999999</v>
      </c>
      <c r="BE17" s="42">
        <v>4956044.5176999997</v>
      </c>
      <c r="BF17" s="51">
        <v>-2210609.2056</v>
      </c>
      <c r="BG17" s="42">
        <v>2811515.8934999998</v>
      </c>
      <c r="BH17" s="42">
        <v>4961330.9642000003</v>
      </c>
      <c r="BI17" s="51">
        <v>-2149815.0706000002</v>
      </c>
      <c r="BJ17" s="42">
        <v>2876178.4931000001</v>
      </c>
      <c r="BK17" s="42">
        <v>4966503.9720999999</v>
      </c>
      <c r="BL17" s="51">
        <v>-2090325.4790000001</v>
      </c>
      <c r="BM17" s="42">
        <v>2941540.0482999999</v>
      </c>
      <c r="BN17" s="42">
        <v>4971732.8964999998</v>
      </c>
      <c r="BO17" s="51">
        <v>-2030192.8483</v>
      </c>
      <c r="BP17" s="42">
        <v>3006805.7171999998</v>
      </c>
      <c r="BQ17" s="42">
        <v>4976954.1501000002</v>
      </c>
      <c r="BR17" s="51">
        <v>-1970148.4328999999</v>
      </c>
      <c r="BS17" s="42">
        <v>3067170.4517999999</v>
      </c>
      <c r="BT17" s="42">
        <v>4981783.3288000003</v>
      </c>
      <c r="BU17" s="51">
        <v>-1914612.8770999999</v>
      </c>
      <c r="BV17" s="42">
        <v>3124946.4065999999</v>
      </c>
      <c r="BW17" s="42">
        <v>4986405.4051999999</v>
      </c>
      <c r="BX17" s="51">
        <v>-1861458.9986</v>
      </c>
      <c r="BY17" s="42">
        <v>3182306.2736999998</v>
      </c>
      <c r="BZ17" s="42">
        <v>4990994.1946</v>
      </c>
      <c r="CA17" s="51">
        <v>-1808687.9209</v>
      </c>
      <c r="CB17" s="42">
        <v>3237133.8402</v>
      </c>
      <c r="CC17" s="42">
        <v>4995380.3998999996</v>
      </c>
      <c r="CD17" s="51">
        <v>-1758246.5597000001</v>
      </c>
      <c r="CE17" s="42">
        <v>3292495.9268999998</v>
      </c>
      <c r="CF17" s="42">
        <v>4999809.3668</v>
      </c>
      <c r="CG17" s="51">
        <v>-1707313.44</v>
      </c>
      <c r="CH17" s="42">
        <v>3348703.5509000001</v>
      </c>
      <c r="CI17" s="42">
        <v>5004305.9768000003</v>
      </c>
      <c r="CJ17" s="51">
        <v>-1655602.4258999999</v>
      </c>
      <c r="CK17" s="42">
        <v>3406096.8506</v>
      </c>
      <c r="CL17" s="42">
        <v>5008897.4407000002</v>
      </c>
      <c r="CM17" s="51">
        <v>-1602800.5902</v>
      </c>
      <c r="CN17" s="42">
        <v>3505947.1425873041</v>
      </c>
      <c r="CO17" s="42">
        <v>5016885.4640904767</v>
      </c>
      <c r="CP17" s="51">
        <v>-1510938.3215031726</v>
      </c>
      <c r="CQ17" s="42">
        <v>3563611.0690394491</v>
      </c>
      <c r="CR17" s="42">
        <v>5021498.5782073699</v>
      </c>
      <c r="CS17" s="51">
        <v>-1457887.5091679208</v>
      </c>
      <c r="CT17" s="42">
        <v>3622680.2149975747</v>
      </c>
      <c r="CU17" s="42">
        <v>5026224.1098846896</v>
      </c>
      <c r="CV17" s="51">
        <v>-1403543.8948871149</v>
      </c>
      <c r="CW17" s="64">
        <f t="shared" si="0"/>
        <v>-73181312.019158214</v>
      </c>
    </row>
    <row r="18" spans="1:101" x14ac:dyDescent="0.25">
      <c r="A18" t="s">
        <v>130</v>
      </c>
      <c r="B18">
        <v>2025</v>
      </c>
      <c r="C18">
        <v>3</v>
      </c>
      <c r="E18" s="42">
        <v>2962728.5181999998</v>
      </c>
      <c r="F18" s="42">
        <v>3887245.0828999998</v>
      </c>
      <c r="G18" s="42">
        <v>-924516.56469999999</v>
      </c>
      <c r="H18" s="51">
        <v>-2405880.8237999999</v>
      </c>
      <c r="I18" s="42">
        <v>3144854.6065000002</v>
      </c>
      <c r="J18" s="42">
        <v>3901815.17</v>
      </c>
      <c r="K18" s="42">
        <v>-756960.56350000005</v>
      </c>
      <c r="L18" s="51">
        <v>-2329387.86675</v>
      </c>
      <c r="M18" s="42">
        <v>3302161.966</v>
      </c>
      <c r="N18" s="42">
        <v>3914399.7587000001</v>
      </c>
      <c r="O18" s="42">
        <v>-612237.79269999999</v>
      </c>
      <c r="P18" s="51">
        <v>-2263318.7757000001</v>
      </c>
      <c r="Q18" s="42">
        <v>3448125.4833</v>
      </c>
      <c r="R18" s="42">
        <v>3926076.8401000001</v>
      </c>
      <c r="S18" s="51">
        <v>-477951.35680000001</v>
      </c>
      <c r="T18" s="42">
        <v>3586096.9974000002</v>
      </c>
      <c r="U18" s="42">
        <v>3937114.5613000002</v>
      </c>
      <c r="V18" s="51">
        <v>-351017.5638</v>
      </c>
      <c r="W18" s="42">
        <v>3726422.1332999999</v>
      </c>
      <c r="X18" s="42">
        <v>3948340.5721</v>
      </c>
      <c r="Y18" s="51">
        <v>-221918.4388</v>
      </c>
      <c r="Z18" s="42">
        <v>3858020.4534</v>
      </c>
      <c r="AA18" s="42">
        <v>3958868.4377000001</v>
      </c>
      <c r="AB18" s="51">
        <v>-100847.9843</v>
      </c>
      <c r="AC18" s="42">
        <v>3977930.4745</v>
      </c>
      <c r="AD18" s="42">
        <v>3968461.2393999998</v>
      </c>
      <c r="AE18" s="51">
        <v>9469.2350000000006</v>
      </c>
      <c r="AF18" s="42">
        <v>4094473.8352999999</v>
      </c>
      <c r="AG18" s="42">
        <v>3977784.7083000001</v>
      </c>
      <c r="AH18" s="51">
        <v>116689.1271</v>
      </c>
      <c r="AI18" s="42">
        <v>4205060.9313000003</v>
      </c>
      <c r="AJ18" s="42">
        <v>3986631.676</v>
      </c>
      <c r="AK18" s="51">
        <v>218429.25529999999</v>
      </c>
      <c r="AL18" s="42">
        <v>4319137.1138000004</v>
      </c>
      <c r="AM18" s="42">
        <v>3995757.7705999999</v>
      </c>
      <c r="AN18" s="51">
        <v>323379.34330000001</v>
      </c>
      <c r="AO18" s="42">
        <v>4435554.6316999998</v>
      </c>
      <c r="AP18" s="42">
        <v>4005071.1719999998</v>
      </c>
      <c r="AQ18" s="51">
        <v>430483.45970000001</v>
      </c>
      <c r="AR18" s="42">
        <v>4552625.7366000004</v>
      </c>
      <c r="AS18" s="42">
        <v>4014436.8604000001</v>
      </c>
      <c r="AT18" s="51">
        <v>538188.87620000006</v>
      </c>
      <c r="AU18" s="42">
        <v>4668317.5110999998</v>
      </c>
      <c r="AV18" s="42">
        <v>4023692.2023</v>
      </c>
      <c r="AW18" s="51">
        <v>644625.30870000005</v>
      </c>
      <c r="AX18" s="42">
        <v>4783532.2242999999</v>
      </c>
      <c r="AY18" s="42">
        <v>4032909.3794</v>
      </c>
      <c r="AZ18" s="51">
        <v>750622.84490000003</v>
      </c>
      <c r="BA18" s="42">
        <v>4902364.9093000004</v>
      </c>
      <c r="BB18" s="42">
        <v>4042415.9942000001</v>
      </c>
      <c r="BC18" s="51">
        <v>859948.91509999998</v>
      </c>
      <c r="BD18" s="42">
        <v>5017852.8054999998</v>
      </c>
      <c r="BE18" s="42">
        <v>4051655.0258999998</v>
      </c>
      <c r="BF18" s="51">
        <v>966197.77960000001</v>
      </c>
      <c r="BG18" s="42">
        <v>5141293.2540999996</v>
      </c>
      <c r="BH18" s="42">
        <v>4061530.2618</v>
      </c>
      <c r="BI18" s="51">
        <v>1079762.9923</v>
      </c>
      <c r="BJ18" s="42">
        <v>5258249.6937999995</v>
      </c>
      <c r="BK18" s="42">
        <v>4070886.7769999998</v>
      </c>
      <c r="BL18" s="51">
        <v>1187362.9168</v>
      </c>
      <c r="BM18" s="42">
        <v>5376700.8562000003</v>
      </c>
      <c r="BN18" s="42">
        <v>4080362.87</v>
      </c>
      <c r="BO18" s="51">
        <v>1296337.9861999999</v>
      </c>
      <c r="BP18" s="42">
        <v>5500109.3417999996</v>
      </c>
      <c r="BQ18" s="42">
        <v>4090235.5488</v>
      </c>
      <c r="BR18" s="51">
        <v>1409873.7930000001</v>
      </c>
      <c r="BS18" s="42">
        <v>5609626.8531999998</v>
      </c>
      <c r="BT18" s="42">
        <v>4098996.9497000002</v>
      </c>
      <c r="BU18" s="51">
        <v>1510629.9035</v>
      </c>
      <c r="BV18" s="42">
        <v>5724378.5941000003</v>
      </c>
      <c r="BW18" s="42">
        <v>4108177.0890000002</v>
      </c>
      <c r="BX18" s="51">
        <v>1616201.5051</v>
      </c>
      <c r="BY18" s="42">
        <v>5835400.4227999998</v>
      </c>
      <c r="BZ18" s="42">
        <v>4117058.8352999999</v>
      </c>
      <c r="CA18" s="51">
        <v>1718341.5874999999</v>
      </c>
      <c r="CB18" s="42">
        <v>5945665.2434</v>
      </c>
      <c r="CC18" s="42">
        <v>4125880.0208999999</v>
      </c>
      <c r="CD18" s="51">
        <v>1819785.2224999999</v>
      </c>
      <c r="CE18" s="42">
        <v>6057619.0351</v>
      </c>
      <c r="CF18" s="42">
        <v>4134836.3243</v>
      </c>
      <c r="CG18" s="51">
        <v>1922782.7108</v>
      </c>
      <c r="CH18" s="42">
        <v>6171374.7994999997</v>
      </c>
      <c r="CI18" s="42">
        <v>4143936.7853999999</v>
      </c>
      <c r="CJ18" s="51">
        <v>2027438.0141</v>
      </c>
      <c r="CK18" s="42">
        <v>6287384.5323999999</v>
      </c>
      <c r="CL18" s="42">
        <v>4153217.5639999998</v>
      </c>
      <c r="CM18" s="51">
        <v>2134166.9682999998</v>
      </c>
      <c r="CN18" s="42">
        <v>6446304.7212055624</v>
      </c>
      <c r="CO18" s="42">
        <v>4165931.1791563518</v>
      </c>
      <c r="CP18" s="51">
        <v>2280373.5420492105</v>
      </c>
      <c r="CQ18" s="42">
        <v>6555572.2387119234</v>
      </c>
      <c r="CR18" s="42">
        <v>4174672.58055567</v>
      </c>
      <c r="CS18" s="51">
        <v>2380899.6581562534</v>
      </c>
      <c r="CT18" s="42">
        <v>6667256.4228461087</v>
      </c>
      <c r="CU18" s="42">
        <v>4183607.3152877782</v>
      </c>
      <c r="CV18" s="51">
        <v>2483649.1075583305</v>
      </c>
      <c r="CW18" s="64">
        <f t="shared" si="0"/>
        <v>21575317.242813796</v>
      </c>
    </row>
    <row r="19" spans="1:101" x14ac:dyDescent="0.25">
      <c r="A19" t="s">
        <v>43</v>
      </c>
      <c r="B19">
        <v>2025</v>
      </c>
      <c r="C19">
        <v>1</v>
      </c>
      <c r="E19" s="42">
        <v>125712.0147</v>
      </c>
      <c r="F19" s="42">
        <v>1990788.3278000001</v>
      </c>
      <c r="G19" s="42">
        <v>-1865076.3132</v>
      </c>
      <c r="H19" s="51">
        <v>-1927932.32045</v>
      </c>
      <c r="I19" s="42">
        <v>129550.7277</v>
      </c>
      <c r="J19" s="42">
        <v>1991114.6184</v>
      </c>
      <c r="K19" s="42">
        <v>-1861563.8907000001</v>
      </c>
      <c r="L19" s="51">
        <v>-1926339.25455</v>
      </c>
      <c r="M19" s="42">
        <v>132717.1232</v>
      </c>
      <c r="N19" s="42">
        <v>1991383.7620000001</v>
      </c>
      <c r="O19" s="42">
        <v>-1858666.6388999999</v>
      </c>
      <c r="P19" s="51">
        <v>-1925025.2004000002</v>
      </c>
      <c r="Q19" s="42">
        <v>135643.59909999999</v>
      </c>
      <c r="R19" s="42">
        <v>1991632.5125</v>
      </c>
      <c r="S19" s="51">
        <v>-1855988.9134</v>
      </c>
      <c r="T19" s="42">
        <v>138342.6942</v>
      </c>
      <c r="U19" s="42">
        <v>1991861.9356</v>
      </c>
      <c r="V19" s="51">
        <v>-1853519.2413999999</v>
      </c>
      <c r="W19" s="42">
        <v>140939.2807</v>
      </c>
      <c r="X19" s="42">
        <v>1992082.6454</v>
      </c>
      <c r="Y19" s="51">
        <v>-1851143.3647</v>
      </c>
      <c r="Z19" s="42">
        <v>143278.4964</v>
      </c>
      <c r="AA19" s="42">
        <v>1992281.4787999999</v>
      </c>
      <c r="AB19" s="51">
        <v>-1849002.9823</v>
      </c>
      <c r="AC19" s="42">
        <v>145455.2237</v>
      </c>
      <c r="AD19" s="42">
        <v>1992466.5005999999</v>
      </c>
      <c r="AE19" s="51">
        <v>-1847011.2768999999</v>
      </c>
      <c r="AF19" s="42">
        <v>147464.55009999999</v>
      </c>
      <c r="AG19" s="42">
        <v>1992637.2933</v>
      </c>
      <c r="AH19" s="51">
        <v>-1845172.7433</v>
      </c>
      <c r="AI19" s="42">
        <v>149443.88649999999</v>
      </c>
      <c r="AJ19" s="42">
        <v>1992805.5368999999</v>
      </c>
      <c r="AK19" s="51">
        <v>-1843361.6503999999</v>
      </c>
      <c r="AL19" s="42">
        <v>151410.68410000001</v>
      </c>
      <c r="AM19" s="42">
        <v>1992972.7146999999</v>
      </c>
      <c r="AN19" s="51">
        <v>-1841562.0305999999</v>
      </c>
      <c r="AO19" s="42">
        <v>153390.02050000001</v>
      </c>
      <c r="AP19" s="42">
        <v>1993140.9583000001</v>
      </c>
      <c r="AQ19" s="51">
        <v>-1839750.9378</v>
      </c>
      <c r="AR19" s="42">
        <v>155386.80809999999</v>
      </c>
      <c r="AS19" s="42">
        <v>1993310.6853</v>
      </c>
      <c r="AT19" s="51">
        <v>-1837923.8770999999</v>
      </c>
      <c r="AU19" s="42">
        <v>157366.1446</v>
      </c>
      <c r="AV19" s="42">
        <v>1993478.9288999999</v>
      </c>
      <c r="AW19" s="51">
        <v>-1836112.7842999999</v>
      </c>
      <c r="AX19" s="42">
        <v>159285.50109999999</v>
      </c>
      <c r="AY19" s="42">
        <v>1993642.0741999999</v>
      </c>
      <c r="AZ19" s="51">
        <v>-1834356.5730999999</v>
      </c>
      <c r="BA19" s="42">
        <v>161312.27859999999</v>
      </c>
      <c r="BB19" s="42">
        <v>1993814.3503</v>
      </c>
      <c r="BC19" s="51">
        <v>-1832502.0715999999</v>
      </c>
      <c r="BD19" s="42">
        <v>163321.60500000001</v>
      </c>
      <c r="BE19" s="42">
        <v>1993985.1429999999</v>
      </c>
      <c r="BF19" s="51">
        <v>-1830663.5379999999</v>
      </c>
      <c r="BG19" s="42">
        <v>165408.36240000001</v>
      </c>
      <c r="BH19" s="42">
        <v>1994162.5174</v>
      </c>
      <c r="BI19" s="51">
        <v>-1828754.155</v>
      </c>
      <c r="BJ19" s="42">
        <v>167327.71890000001</v>
      </c>
      <c r="BK19" s="42">
        <v>1994325.6627</v>
      </c>
      <c r="BL19" s="51">
        <v>-1826997.9438</v>
      </c>
      <c r="BM19" s="42">
        <v>169277.06539999999</v>
      </c>
      <c r="BN19" s="42">
        <v>1994491.3570999999</v>
      </c>
      <c r="BO19" s="51">
        <v>-1825214.2918</v>
      </c>
      <c r="BP19" s="42">
        <v>171213.8731</v>
      </c>
      <c r="BQ19" s="42">
        <v>1994655.9857999999</v>
      </c>
      <c r="BR19" s="51">
        <v>-1823442.1126999999</v>
      </c>
      <c r="BS19" s="42">
        <v>173043.2598</v>
      </c>
      <c r="BT19" s="42">
        <v>1994811.4837</v>
      </c>
      <c r="BU19" s="51">
        <v>-1821768.2239000001</v>
      </c>
      <c r="BV19" s="42">
        <v>174782.67660000001</v>
      </c>
      <c r="BW19" s="42">
        <v>1994959.3341000001</v>
      </c>
      <c r="BX19" s="51">
        <v>-1820176.6575</v>
      </c>
      <c r="BY19" s="42">
        <v>176539.54459999999</v>
      </c>
      <c r="BZ19" s="42">
        <v>1995108.6679</v>
      </c>
      <c r="CA19" s="51">
        <v>-1818569.1232</v>
      </c>
      <c r="CB19" s="42">
        <v>178188.99170000001</v>
      </c>
      <c r="CC19" s="42">
        <v>1995248.8709</v>
      </c>
      <c r="CD19" s="51">
        <v>-1817059.8792000001</v>
      </c>
      <c r="CE19" s="42">
        <v>179808.44870000001</v>
      </c>
      <c r="CF19" s="42">
        <v>1995386.5247</v>
      </c>
      <c r="CG19" s="51">
        <v>-1815578.0759999999</v>
      </c>
      <c r="CH19" s="42">
        <v>181445.35699999999</v>
      </c>
      <c r="CI19" s="42">
        <v>1995525.6618999999</v>
      </c>
      <c r="CJ19" s="51">
        <v>-1814080.3049000001</v>
      </c>
      <c r="CK19" s="42">
        <v>183094.804</v>
      </c>
      <c r="CL19" s="42">
        <v>1995665.8648999999</v>
      </c>
      <c r="CM19" s="51">
        <v>-1812571.0608999999</v>
      </c>
      <c r="CN19" s="42">
        <v>187163.70166190481</v>
      </c>
      <c r="CO19" s="42">
        <v>1996011.7212341267</v>
      </c>
      <c r="CP19" s="51">
        <v>-1808848.0195722219</v>
      </c>
      <c r="CQ19" s="42">
        <v>188877.32099852618</v>
      </c>
      <c r="CR19" s="42">
        <v>1996157.378877891</v>
      </c>
      <c r="CS19" s="51">
        <v>-1807280.0578793648</v>
      </c>
      <c r="CT19" s="42">
        <v>190652.69105814165</v>
      </c>
      <c r="CU19" s="42">
        <v>1996308.2853323987</v>
      </c>
      <c r="CV19" s="51">
        <v>-1805655.5942742571</v>
      </c>
      <c r="CW19" s="64">
        <f t="shared" si="0"/>
        <v>-57023364.260925844</v>
      </c>
    </row>
    <row r="20" spans="1:101" x14ac:dyDescent="0.25">
      <c r="A20" t="s">
        <v>76</v>
      </c>
      <c r="B20">
        <v>2025</v>
      </c>
      <c r="C20">
        <v>3</v>
      </c>
      <c r="D20" t="s">
        <v>347</v>
      </c>
      <c r="E20" s="42">
        <v>1147123.3866000001</v>
      </c>
      <c r="F20" s="42">
        <v>4953879.3809000002</v>
      </c>
      <c r="G20" s="42">
        <v>-3806755.9942999999</v>
      </c>
      <c r="H20" s="51">
        <v>-4380317.6875999998</v>
      </c>
      <c r="I20" s="42">
        <v>1218150.6018999999</v>
      </c>
      <c r="J20" s="42">
        <v>4959561.5581</v>
      </c>
      <c r="K20" s="42">
        <v>-3741410.9561999999</v>
      </c>
      <c r="L20" s="51">
        <v>-4350486.25715</v>
      </c>
      <c r="M20" s="42">
        <v>1273694.3666999999</v>
      </c>
      <c r="N20" s="42">
        <v>4964005.0592999998</v>
      </c>
      <c r="O20" s="42">
        <v>-3690310.6924999999</v>
      </c>
      <c r="P20" s="51">
        <v>-4327157.8759500002</v>
      </c>
      <c r="Q20" s="42">
        <v>1321923.0427999999</v>
      </c>
      <c r="R20" s="42">
        <v>4967863.3534000004</v>
      </c>
      <c r="S20" s="51">
        <v>-3645940.3105000001</v>
      </c>
      <c r="T20" s="42">
        <v>1366331.5730999999</v>
      </c>
      <c r="U20" s="42">
        <v>4971416.0357999997</v>
      </c>
      <c r="V20" s="51">
        <v>-3605084.4627</v>
      </c>
      <c r="W20" s="42">
        <v>1408030.0412000001</v>
      </c>
      <c r="X20" s="42">
        <v>4974751.9132000003</v>
      </c>
      <c r="Y20" s="51">
        <v>-3566721.872</v>
      </c>
      <c r="Z20" s="42">
        <v>1446369.2196</v>
      </c>
      <c r="AA20" s="42">
        <v>4977819.0475000003</v>
      </c>
      <c r="AB20" s="51">
        <v>-3531449.8278999999</v>
      </c>
      <c r="AC20" s="42">
        <v>1480590.0211</v>
      </c>
      <c r="AD20" s="42">
        <v>4980556.7116</v>
      </c>
      <c r="AE20" s="51">
        <v>-3499966.6905</v>
      </c>
      <c r="AF20" s="42">
        <v>1512053.6440000001</v>
      </c>
      <c r="AG20" s="42">
        <v>4983073.8015000001</v>
      </c>
      <c r="AH20" s="51">
        <v>-3471020.1575000002</v>
      </c>
      <c r="AI20" s="42">
        <v>1543203.3145999999</v>
      </c>
      <c r="AJ20" s="42">
        <v>4985565.7751000002</v>
      </c>
      <c r="AK20" s="51">
        <v>-3442362.4605</v>
      </c>
      <c r="AL20" s="42">
        <v>1573850.6614999999</v>
      </c>
      <c r="AM20" s="42">
        <v>4988017.5629000003</v>
      </c>
      <c r="AN20" s="51">
        <v>-3414166.9013999999</v>
      </c>
      <c r="AO20" s="42">
        <v>1605340.0778999999</v>
      </c>
      <c r="AP20" s="42">
        <v>4990536.7161999997</v>
      </c>
      <c r="AQ20" s="51">
        <v>-3385196.6383000002</v>
      </c>
      <c r="AR20" s="42">
        <v>1635799.0534000001</v>
      </c>
      <c r="AS20" s="42">
        <v>4992973.4342</v>
      </c>
      <c r="AT20" s="51">
        <v>-3357174.3807999999</v>
      </c>
      <c r="AU20" s="42">
        <v>1666760.3526000001</v>
      </c>
      <c r="AV20" s="42">
        <v>4995450.3381000003</v>
      </c>
      <c r="AW20" s="51">
        <v>-3328689.9855</v>
      </c>
      <c r="AX20" s="42">
        <v>1697169.4778</v>
      </c>
      <c r="AY20" s="42">
        <v>4997883.0681999996</v>
      </c>
      <c r="AZ20" s="51">
        <v>-3300713.5902999998</v>
      </c>
      <c r="BA20" s="42">
        <v>1728742.0053000001</v>
      </c>
      <c r="BB20" s="42">
        <v>5000408.8704000004</v>
      </c>
      <c r="BC20" s="51">
        <v>-3271666.8651000001</v>
      </c>
      <c r="BD20" s="42">
        <v>1760362.6043</v>
      </c>
      <c r="BE20" s="42">
        <v>5002938.5182999996</v>
      </c>
      <c r="BF20" s="51">
        <v>-3242575.9139999999</v>
      </c>
      <c r="BG20" s="42">
        <v>1792574.111</v>
      </c>
      <c r="BH20" s="42">
        <v>5005515.4387999997</v>
      </c>
      <c r="BI20" s="51">
        <v>-3212941.3278000001</v>
      </c>
      <c r="BJ20" s="42">
        <v>1823315.6436000001</v>
      </c>
      <c r="BK20" s="42">
        <v>5007974.7614000002</v>
      </c>
      <c r="BL20" s="51">
        <v>-3184659.1178000001</v>
      </c>
      <c r="BM20" s="42">
        <v>1854833.5874000001</v>
      </c>
      <c r="BN20" s="42">
        <v>5010496.1968999999</v>
      </c>
      <c r="BO20" s="51">
        <v>-3155662.6094999998</v>
      </c>
      <c r="BP20" s="42">
        <v>1885355.3533999999</v>
      </c>
      <c r="BQ20" s="42">
        <v>5012937.9381999997</v>
      </c>
      <c r="BR20" s="51">
        <v>-3127582.5847999998</v>
      </c>
      <c r="BS20" s="42">
        <v>1914270.3609</v>
      </c>
      <c r="BT20" s="42">
        <v>5015251.1387999998</v>
      </c>
      <c r="BU20" s="51">
        <v>-3100980.7779000001</v>
      </c>
      <c r="BV20" s="42">
        <v>1942092.1370000001</v>
      </c>
      <c r="BW20" s="42">
        <v>5017476.8809000002</v>
      </c>
      <c r="BX20" s="51">
        <v>-3075384.7439000001</v>
      </c>
      <c r="BY20" s="42">
        <v>1970222.2637</v>
      </c>
      <c r="BZ20" s="42">
        <v>5019727.2910000002</v>
      </c>
      <c r="CA20" s="51">
        <v>-3049505.0273000002</v>
      </c>
      <c r="CB20" s="42">
        <v>1996568.4639999999</v>
      </c>
      <c r="CC20" s="42">
        <v>5021834.9870999996</v>
      </c>
      <c r="CD20" s="51">
        <v>-3025266.523</v>
      </c>
      <c r="CE20" s="42">
        <v>2022349.5501999999</v>
      </c>
      <c r="CF20" s="42">
        <v>5023897.4738999996</v>
      </c>
      <c r="CG20" s="51">
        <v>-3001547.9238</v>
      </c>
      <c r="CH20" s="42">
        <v>2048457.5288</v>
      </c>
      <c r="CI20" s="42">
        <v>5025986.1122000003</v>
      </c>
      <c r="CJ20" s="51">
        <v>-2977528.5835000002</v>
      </c>
      <c r="CK20" s="42">
        <v>2075054.8909</v>
      </c>
      <c r="CL20" s="42">
        <v>5028113.9012000002</v>
      </c>
      <c r="CM20" s="51">
        <v>-2953059.0103000002</v>
      </c>
      <c r="CN20" s="42">
        <v>2140215.0125365108</v>
      </c>
      <c r="CO20" s="42">
        <v>5033326.7109190468</v>
      </c>
      <c r="CP20" s="51">
        <v>-2893111.6983825359</v>
      </c>
      <c r="CQ20" s="42">
        <v>2166282.6058409289</v>
      </c>
      <c r="CR20" s="42">
        <v>5035412.1183828786</v>
      </c>
      <c r="CS20" s="51">
        <v>-2869129.5125419497</v>
      </c>
      <c r="CT20" s="42">
        <v>2193829.5420544222</v>
      </c>
      <c r="CU20" s="42">
        <v>5037615.8732778998</v>
      </c>
      <c r="CV20" s="51">
        <v>-2843786.3312234776</v>
      </c>
      <c r="CW20" s="64">
        <f t="shared" si="0"/>
        <v>-103590837.64944798</v>
      </c>
    </row>
    <row r="21" spans="1:101" x14ac:dyDescent="0.25">
      <c r="A21" t="s">
        <v>80</v>
      </c>
      <c r="B21">
        <v>2025</v>
      </c>
      <c r="C21">
        <v>2</v>
      </c>
      <c r="E21" s="42">
        <v>815816.11620000005</v>
      </c>
      <c r="F21" s="42">
        <v>2451818.4890000001</v>
      </c>
      <c r="G21" s="42">
        <v>-1636002.3728</v>
      </c>
      <c r="H21" s="51">
        <v>-2043910.4309</v>
      </c>
      <c r="I21" s="42">
        <v>861971.07479999994</v>
      </c>
      <c r="J21" s="42">
        <v>2455741.6605000002</v>
      </c>
      <c r="K21" s="42">
        <v>-1593770.5856999999</v>
      </c>
      <c r="L21" s="51">
        <v>-2024756.1231000002</v>
      </c>
      <c r="M21" s="42">
        <v>902185.299</v>
      </c>
      <c r="N21" s="42">
        <v>2459159.8695999999</v>
      </c>
      <c r="O21" s="42">
        <v>-1556974.5706</v>
      </c>
      <c r="P21" s="51">
        <v>-2008067.2200999998</v>
      </c>
      <c r="Q21" s="42">
        <v>939648.51399999997</v>
      </c>
      <c r="R21" s="42">
        <v>2462344.2428000001</v>
      </c>
      <c r="S21" s="51">
        <v>-1522695.7287999999</v>
      </c>
      <c r="T21" s="42">
        <v>979110.9314</v>
      </c>
      <c r="U21" s="42">
        <v>2465698.5482999999</v>
      </c>
      <c r="V21" s="51">
        <v>-1486587.6169</v>
      </c>
      <c r="W21" s="42">
        <v>991112.96589999995</v>
      </c>
      <c r="X21" s="42">
        <v>2466718.7212999999</v>
      </c>
      <c r="Y21" s="51">
        <v>-1475605.7553999999</v>
      </c>
      <c r="Z21" s="42">
        <v>1035955.2095999999</v>
      </c>
      <c r="AA21" s="42">
        <v>2470530.3119999999</v>
      </c>
      <c r="AB21" s="51">
        <v>-1434575.1024</v>
      </c>
      <c r="AC21" s="42">
        <v>1080560.3759999999</v>
      </c>
      <c r="AD21" s="42">
        <v>2474321.7511</v>
      </c>
      <c r="AE21" s="51">
        <v>-1393761.3751000001</v>
      </c>
      <c r="AF21" s="42">
        <v>1091317.7549999999</v>
      </c>
      <c r="AG21" s="42">
        <v>2475236.1283</v>
      </c>
      <c r="AH21" s="51">
        <v>-1383918.3733000001</v>
      </c>
      <c r="AI21" s="42">
        <v>1135640.2555</v>
      </c>
      <c r="AJ21" s="42">
        <v>2479003.5408999999</v>
      </c>
      <c r="AK21" s="51">
        <v>-1343363.2853000001</v>
      </c>
      <c r="AL21" s="42">
        <v>1146178.0086000001</v>
      </c>
      <c r="AM21" s="42">
        <v>2479899.2499000002</v>
      </c>
      <c r="AN21" s="51">
        <v>-1333721.2413000001</v>
      </c>
      <c r="AO21" s="42">
        <v>1191542.8744999999</v>
      </c>
      <c r="AP21" s="42">
        <v>2483755.2634999999</v>
      </c>
      <c r="AQ21" s="51">
        <v>-1292212.389</v>
      </c>
      <c r="AR21" s="42">
        <v>1201707.5604999999</v>
      </c>
      <c r="AS21" s="42">
        <v>2484619.2618</v>
      </c>
      <c r="AT21" s="51">
        <v>-1282911.7013000001</v>
      </c>
      <c r="AU21" s="42">
        <v>1211931.5157999999</v>
      </c>
      <c r="AV21" s="42">
        <v>2485488.298</v>
      </c>
      <c r="AW21" s="51">
        <v>-1273556.7822</v>
      </c>
      <c r="AX21" s="42">
        <v>1256981.2021000001</v>
      </c>
      <c r="AY21" s="42">
        <v>2489317.5213000001</v>
      </c>
      <c r="AZ21" s="51">
        <v>-1232336.3193000001</v>
      </c>
      <c r="BA21" s="42">
        <v>1267649.6771</v>
      </c>
      <c r="BB21" s="42">
        <v>2490224.3417000002</v>
      </c>
      <c r="BC21" s="51">
        <v>-1222574.6646</v>
      </c>
      <c r="BD21" s="42">
        <v>1314076.2379999999</v>
      </c>
      <c r="BE21" s="42">
        <v>2494170.5994000002</v>
      </c>
      <c r="BF21" s="51">
        <v>-1180094.3614000001</v>
      </c>
      <c r="BG21" s="42">
        <v>1325032.3987</v>
      </c>
      <c r="BH21" s="42">
        <v>2495101.8730000001</v>
      </c>
      <c r="BI21" s="51">
        <v>-1170069.4743999999</v>
      </c>
      <c r="BJ21" s="42">
        <v>1371089.6631</v>
      </c>
      <c r="BK21" s="42">
        <v>2499016.7404999998</v>
      </c>
      <c r="BL21" s="51">
        <v>-1127927.0774000001</v>
      </c>
      <c r="BM21" s="42">
        <v>1381076.5412000001</v>
      </c>
      <c r="BN21" s="42">
        <v>2499865.6252000001</v>
      </c>
      <c r="BO21" s="51">
        <v>-1118789.084</v>
      </c>
      <c r="BP21" s="42">
        <v>1427163.4402000001</v>
      </c>
      <c r="BQ21" s="42">
        <v>2503783.0115999999</v>
      </c>
      <c r="BR21" s="51">
        <v>-1076619.5713</v>
      </c>
      <c r="BS21" s="42">
        <v>1436512.0366</v>
      </c>
      <c r="BT21" s="42">
        <v>2504577.6422999999</v>
      </c>
      <c r="BU21" s="51">
        <v>-1068065.6057</v>
      </c>
      <c r="BV21" s="42">
        <v>1482586.7522</v>
      </c>
      <c r="BW21" s="42">
        <v>2508493.9931000001</v>
      </c>
      <c r="BX21" s="51">
        <v>-1025907.2409</v>
      </c>
      <c r="BY21" s="42">
        <v>1491121.5323000001</v>
      </c>
      <c r="BZ21" s="42">
        <v>2509219.4493999998</v>
      </c>
      <c r="CA21" s="51">
        <v>-1018097.9171</v>
      </c>
      <c r="CB21" s="42">
        <v>1535963.7759</v>
      </c>
      <c r="CC21" s="42">
        <v>2513031.0400999999</v>
      </c>
      <c r="CD21" s="51">
        <v>-977067.26419999998</v>
      </c>
      <c r="CE21" s="42">
        <v>1542750.1114000001</v>
      </c>
      <c r="CF21" s="42">
        <v>2513607.8785999999</v>
      </c>
      <c r="CG21" s="51">
        <v>-970857.7672</v>
      </c>
      <c r="CH21" s="42">
        <v>1549566.0815999999</v>
      </c>
      <c r="CI21" s="42">
        <v>2514187.2360999999</v>
      </c>
      <c r="CJ21" s="51">
        <v>-964621.15449999995</v>
      </c>
      <c r="CK21" s="42">
        <v>1556505.6041000001</v>
      </c>
      <c r="CL21" s="42">
        <v>2514777.0954999998</v>
      </c>
      <c r="CM21" s="51">
        <v>-958271.49140000006</v>
      </c>
      <c r="CN21" s="42">
        <v>1631588.2819634899</v>
      </c>
      <c r="CO21" s="42">
        <v>2521159.123126985</v>
      </c>
      <c r="CP21" s="51">
        <v>-889570.84116349509</v>
      </c>
      <c r="CQ21" s="42">
        <v>1655429.525820978</v>
      </c>
      <c r="CR21" s="42">
        <v>2523185.6288530626</v>
      </c>
      <c r="CS21" s="51">
        <v>-867756.10303208465</v>
      </c>
      <c r="CT21" s="42">
        <v>1679865.3713425174</v>
      </c>
      <c r="CU21" s="42">
        <v>2525262.6757215401</v>
      </c>
      <c r="CV21" s="51">
        <v>-845397.30437902268</v>
      </c>
      <c r="CW21" s="64">
        <f t="shared" si="0"/>
        <v>-39013666.367074594</v>
      </c>
    </row>
    <row r="22" spans="1:101" x14ac:dyDescent="0.25">
      <c r="A22" t="s">
        <v>85</v>
      </c>
      <c r="B22">
        <v>2025</v>
      </c>
      <c r="C22">
        <v>3</v>
      </c>
      <c r="D22" t="s">
        <v>347</v>
      </c>
      <c r="E22" s="42">
        <v>2535787.1845999998</v>
      </c>
      <c r="F22" s="42">
        <v>4603666.5942000002</v>
      </c>
      <c r="G22" s="42">
        <v>-2067879.4095999999</v>
      </c>
      <c r="H22" s="51">
        <v>-3335773.0019000005</v>
      </c>
      <c r="I22" s="42">
        <v>2734453.2289</v>
      </c>
      <c r="J22" s="42">
        <v>4619559.8777999999</v>
      </c>
      <c r="K22" s="42">
        <v>-1885106.6488999999</v>
      </c>
      <c r="L22" s="51">
        <v>-3252333.2633499997</v>
      </c>
      <c r="M22" s="42">
        <v>2898839.2736999998</v>
      </c>
      <c r="N22" s="42">
        <v>4632710.7614000002</v>
      </c>
      <c r="O22" s="42">
        <v>-1733871.4876999999</v>
      </c>
      <c r="P22" s="51">
        <v>-3183291.1245500003</v>
      </c>
      <c r="Q22" s="42">
        <v>3048830.5828</v>
      </c>
      <c r="R22" s="42">
        <v>4644710.0661000004</v>
      </c>
      <c r="S22" s="51">
        <v>-1595879.4833</v>
      </c>
      <c r="T22" s="42">
        <v>3189571.8064000001</v>
      </c>
      <c r="U22" s="42">
        <v>4655969.3640000001</v>
      </c>
      <c r="V22" s="51">
        <v>-1466397.5575000001</v>
      </c>
      <c r="W22" s="42">
        <v>3326743.1516999998</v>
      </c>
      <c r="X22" s="42">
        <v>4666943.0716000004</v>
      </c>
      <c r="Y22" s="51">
        <v>-1340199.9199000001</v>
      </c>
      <c r="Z22" s="42">
        <v>3456575.2659</v>
      </c>
      <c r="AA22" s="42">
        <v>4677329.6407000003</v>
      </c>
      <c r="AB22" s="51">
        <v>-1220754.3748000001</v>
      </c>
      <c r="AC22" s="42">
        <v>3579567.62</v>
      </c>
      <c r="AD22" s="42">
        <v>4687169.0290999999</v>
      </c>
      <c r="AE22" s="51">
        <v>-1107601.4091</v>
      </c>
      <c r="AF22" s="42">
        <v>3695023.5093999999</v>
      </c>
      <c r="AG22" s="42">
        <v>4696405.5001999997</v>
      </c>
      <c r="AH22" s="51">
        <v>-1001381.9908</v>
      </c>
      <c r="AI22" s="42">
        <v>3813563.0745999999</v>
      </c>
      <c r="AJ22" s="42">
        <v>4705888.6654000003</v>
      </c>
      <c r="AK22" s="51">
        <v>-892325.59080000001</v>
      </c>
      <c r="AL22" s="42">
        <v>3930172.6329999999</v>
      </c>
      <c r="AM22" s="42">
        <v>4715217.4301000005</v>
      </c>
      <c r="AN22" s="51">
        <v>-785044.79709999997</v>
      </c>
      <c r="AO22" s="42">
        <v>4052272.5652000001</v>
      </c>
      <c r="AP22" s="42">
        <v>4724985.4247000003</v>
      </c>
      <c r="AQ22" s="51">
        <v>-672712.85950000002</v>
      </c>
      <c r="AR22" s="42">
        <v>4171613.8753</v>
      </c>
      <c r="AS22" s="42">
        <v>4734532.7295000004</v>
      </c>
      <c r="AT22" s="51">
        <v>-562918.85419999994</v>
      </c>
      <c r="AU22" s="42">
        <v>4295480.3568000002</v>
      </c>
      <c r="AV22" s="42">
        <v>4744442.0480000004</v>
      </c>
      <c r="AW22" s="51">
        <v>-448961.6912</v>
      </c>
      <c r="AX22" s="42">
        <v>4419039.1475999998</v>
      </c>
      <c r="AY22" s="42">
        <v>4754326.7512999997</v>
      </c>
      <c r="AZ22" s="51">
        <v>-335287.60369999998</v>
      </c>
      <c r="BA22" s="42">
        <v>4548048.7709999997</v>
      </c>
      <c r="BB22" s="42">
        <v>4764647.5210999995</v>
      </c>
      <c r="BC22" s="51">
        <v>-216598.7501</v>
      </c>
      <c r="BD22" s="42">
        <v>4677439.4353999998</v>
      </c>
      <c r="BE22" s="42">
        <v>4774998.7742999997</v>
      </c>
      <c r="BF22" s="51">
        <v>-97559.338799999998</v>
      </c>
      <c r="BG22" s="42">
        <v>4812673.0295000002</v>
      </c>
      <c r="BH22" s="42">
        <v>4785817.4617999997</v>
      </c>
      <c r="BI22" s="51">
        <v>26855.5677</v>
      </c>
      <c r="BJ22" s="42">
        <v>4943849.4272999996</v>
      </c>
      <c r="BK22" s="42">
        <v>4796311.5735999998</v>
      </c>
      <c r="BL22" s="51">
        <v>147537.85370000001</v>
      </c>
      <c r="BM22" s="42">
        <v>5080124.5834999997</v>
      </c>
      <c r="BN22" s="42">
        <v>4807213.5861</v>
      </c>
      <c r="BO22" s="51">
        <v>272910.99739999999</v>
      </c>
      <c r="BP22" s="42">
        <v>5214272.4162999997</v>
      </c>
      <c r="BQ22" s="42">
        <v>4817945.4128</v>
      </c>
      <c r="BR22" s="51">
        <v>396327.00349999999</v>
      </c>
      <c r="BS22" s="42">
        <v>5350327.2923999997</v>
      </c>
      <c r="BT22" s="42">
        <v>4828829.8027999997</v>
      </c>
      <c r="BU22" s="51">
        <v>521497.48950000003</v>
      </c>
      <c r="BV22" s="42">
        <v>5485610.2830999997</v>
      </c>
      <c r="BW22" s="42">
        <v>4839652.4420999996</v>
      </c>
      <c r="BX22" s="51">
        <v>645957.84100000001</v>
      </c>
      <c r="BY22" s="42">
        <v>5626562.1922000004</v>
      </c>
      <c r="BZ22" s="42">
        <v>4850928.5948000001</v>
      </c>
      <c r="CA22" s="51">
        <v>775633.59739999997</v>
      </c>
      <c r="CB22" s="42">
        <v>5762818.7034</v>
      </c>
      <c r="CC22" s="42">
        <v>4861829.1157</v>
      </c>
      <c r="CD22" s="51">
        <v>900989.58770000003</v>
      </c>
      <c r="CE22" s="42">
        <v>5904600.5802999996</v>
      </c>
      <c r="CF22" s="42">
        <v>4873171.6659000004</v>
      </c>
      <c r="CG22" s="51">
        <v>1031428.9145</v>
      </c>
      <c r="CH22" s="42">
        <v>6048977.2120000003</v>
      </c>
      <c r="CI22" s="42">
        <v>4884721.7964000003</v>
      </c>
      <c r="CJ22" s="51">
        <v>1164255.4155999999</v>
      </c>
      <c r="CK22" s="42">
        <v>6196788.1607999997</v>
      </c>
      <c r="CL22" s="42">
        <v>4896546.6722999997</v>
      </c>
      <c r="CM22" s="51">
        <v>1300241.4883999999</v>
      </c>
      <c r="CN22" s="42">
        <v>6276424.2289460301</v>
      </c>
      <c r="CO22" s="42">
        <v>4902917.5577499978</v>
      </c>
      <c r="CP22" s="51">
        <v>1373506.6711960323</v>
      </c>
      <c r="CQ22" s="42">
        <v>6399709.0115168989</v>
      </c>
      <c r="CR22" s="42">
        <v>4912780.3403507918</v>
      </c>
      <c r="CS22" s="51">
        <v>1486928.6711661071</v>
      </c>
      <c r="CT22" s="42">
        <v>6526685.456666559</v>
      </c>
      <c r="CU22" s="42">
        <v>4922938.4559616223</v>
      </c>
      <c r="CV22" s="51">
        <v>1603747.0007049367</v>
      </c>
      <c r="CW22" s="64">
        <f t="shared" si="0"/>
        <v>-9867203.5111329295</v>
      </c>
    </row>
    <row r="23" spans="1:101" x14ac:dyDescent="0.25">
      <c r="B23" s="5"/>
    </row>
    <row r="24" spans="1:101" x14ac:dyDescent="0.25">
      <c r="B24" s="5"/>
    </row>
    <row r="25" spans="1:101" x14ac:dyDescent="0.25">
      <c r="A25" s="23" t="s">
        <v>146</v>
      </c>
      <c r="B25" s="5"/>
    </row>
    <row r="26" spans="1:101" x14ac:dyDescent="0.25">
      <c r="B26" s="5"/>
      <c r="C26" s="5"/>
      <c r="D26" s="5"/>
    </row>
    <row r="27" spans="1:101" x14ac:dyDescent="0.25">
      <c r="B27" s="5"/>
    </row>
    <row r="28" spans="1:101" x14ac:dyDescent="0.25">
      <c r="B28" s="5"/>
    </row>
    <row r="29" spans="1:101" x14ac:dyDescent="0.25">
      <c r="B29" s="5"/>
    </row>
    <row r="30" spans="1:101" x14ac:dyDescent="0.25">
      <c r="B30" s="5"/>
    </row>
    <row r="31" spans="1:101" x14ac:dyDescent="0.25">
      <c r="B31" s="5"/>
    </row>
    <row r="32" spans="1:101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8" spans="2:2" x14ac:dyDescent="0.25">
      <c r="B38" s="5"/>
    </row>
    <row r="39" spans="2:2" x14ac:dyDescent="0.25">
      <c r="B39" s="5"/>
    </row>
    <row r="40" spans="2:2" x14ac:dyDescent="0.25">
      <c r="B40" s="52"/>
    </row>
    <row r="41" spans="2:2" x14ac:dyDescent="0.25">
      <c r="B41" s="5"/>
    </row>
  </sheetData>
  <autoFilter ref="A2:CJ22" xr:uid="{00000000-0009-0000-0000-000000000000}">
    <sortState xmlns:xlrd2="http://schemas.microsoft.com/office/spreadsheetml/2017/richdata2" ref="A3:CI21">
      <sortCondition ref="A2:A7"/>
    </sortState>
  </autoFilter>
  <hyperlinks>
    <hyperlink ref="A25" location="Introdução!A1" display="Introdução!A1" xr:uid="{365C590B-AB76-4359-8A00-67561095C2A5}"/>
  </hyperlink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A419-4F4E-4E41-BDCE-85C9FDEDD4B8}">
  <sheetPr codeName="Planilha23">
    <tabColor rgb="FFFF0000"/>
  </sheetPr>
  <dimension ref="A2:D29"/>
  <sheetViews>
    <sheetView showGridLines="0" workbookViewId="0">
      <selection activeCell="G23" sqref="G23"/>
    </sheetView>
  </sheetViews>
  <sheetFormatPr defaultRowHeight="15" x14ac:dyDescent="0.25"/>
  <cols>
    <col min="1" max="1" width="3.42578125" customWidth="1"/>
    <col min="2" max="2" width="60.85546875" customWidth="1"/>
    <col min="3" max="3" width="31.85546875" customWidth="1"/>
  </cols>
  <sheetData>
    <row r="2" spans="2:4" ht="18.75" x14ac:dyDescent="0.3">
      <c r="B2" s="58" t="s">
        <v>313</v>
      </c>
    </row>
    <row r="3" spans="2:4" x14ac:dyDescent="0.25">
      <c r="B3" t="s">
        <v>259</v>
      </c>
    </row>
    <row r="4" spans="2:4" ht="18.75" x14ac:dyDescent="0.3">
      <c r="B4" s="58" t="s">
        <v>260</v>
      </c>
    </row>
    <row r="5" spans="2:4" x14ac:dyDescent="0.25">
      <c r="B5" s="2" t="s">
        <v>261</v>
      </c>
    </row>
    <row r="6" spans="2:4" x14ac:dyDescent="0.25">
      <c r="B6" s="2" t="s">
        <v>262</v>
      </c>
      <c r="C6" s="2" t="s">
        <v>263</v>
      </c>
      <c r="D6" s="2" t="s">
        <v>264</v>
      </c>
    </row>
    <row r="7" spans="2:4" x14ac:dyDescent="0.25">
      <c r="B7" t="s">
        <v>265</v>
      </c>
      <c r="C7" t="s">
        <v>266</v>
      </c>
      <c r="D7" t="s">
        <v>267</v>
      </c>
    </row>
    <row r="8" spans="2:4" x14ac:dyDescent="0.25">
      <c r="B8" t="s">
        <v>268</v>
      </c>
      <c r="C8" t="s">
        <v>269</v>
      </c>
      <c r="D8" t="s">
        <v>270</v>
      </c>
    </row>
    <row r="9" spans="2:4" x14ac:dyDescent="0.25">
      <c r="B9" t="s">
        <v>271</v>
      </c>
      <c r="C9" t="s">
        <v>272</v>
      </c>
      <c r="D9" t="s">
        <v>273</v>
      </c>
    </row>
    <row r="10" spans="2:4" x14ac:dyDescent="0.25">
      <c r="B10" s="2" t="s">
        <v>274</v>
      </c>
      <c r="C10" s="2" t="s">
        <v>263</v>
      </c>
    </row>
    <row r="11" spans="2:4" x14ac:dyDescent="0.25">
      <c r="B11" t="s">
        <v>275</v>
      </c>
      <c r="C11" t="s">
        <v>276</v>
      </c>
      <c r="D11" t="s">
        <v>277</v>
      </c>
    </row>
    <row r="12" spans="2:4" x14ac:dyDescent="0.25">
      <c r="B12" t="s">
        <v>278</v>
      </c>
      <c r="C12" t="s">
        <v>279</v>
      </c>
      <c r="D12" t="s">
        <v>280</v>
      </c>
    </row>
    <row r="14" spans="2:4" x14ac:dyDescent="0.25">
      <c r="B14" t="s">
        <v>281</v>
      </c>
    </row>
    <row r="15" spans="2:4" x14ac:dyDescent="0.25">
      <c r="B15" s="59" t="s">
        <v>282</v>
      </c>
    </row>
    <row r="16" spans="2:4" x14ac:dyDescent="0.25">
      <c r="B16" t="s">
        <v>283</v>
      </c>
    </row>
    <row r="17" spans="1:2" x14ac:dyDescent="0.25">
      <c r="B17" t="s">
        <v>284</v>
      </c>
    </row>
    <row r="18" spans="1:2" x14ac:dyDescent="0.25">
      <c r="B18" s="59" t="s">
        <v>285</v>
      </c>
    </row>
    <row r="19" spans="1:2" x14ac:dyDescent="0.25">
      <c r="B19" s="59" t="s">
        <v>286</v>
      </c>
    </row>
    <row r="20" spans="1:2" x14ac:dyDescent="0.25">
      <c r="B20" t="s">
        <v>287</v>
      </c>
    </row>
    <row r="21" spans="1:2" x14ac:dyDescent="0.25">
      <c r="B21" t="s">
        <v>288</v>
      </c>
    </row>
    <row r="22" spans="1:2" x14ac:dyDescent="0.25">
      <c r="B22" s="59" t="s">
        <v>289</v>
      </c>
    </row>
    <row r="23" spans="1:2" x14ac:dyDescent="0.25">
      <c r="B23" t="s">
        <v>290</v>
      </c>
    </row>
    <row r="24" spans="1:2" x14ac:dyDescent="0.25">
      <c r="B24" s="59" t="s">
        <v>291</v>
      </c>
    </row>
    <row r="25" spans="1:2" x14ac:dyDescent="0.25">
      <c r="B25" s="59" t="s">
        <v>292</v>
      </c>
    </row>
    <row r="29" spans="1:2" x14ac:dyDescent="0.25">
      <c r="A29" s="23" t="s">
        <v>146</v>
      </c>
    </row>
  </sheetData>
  <hyperlinks>
    <hyperlink ref="A29" location="Introdução!A1" display="Introdução!A1" xr:uid="{8859B2B4-01C5-4FB4-928E-ED7D5382E0B1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ABAF-EB41-4CA8-B541-C32FF77259AD}">
  <sheetPr codeName="Planilha4">
    <tabColor rgb="FF92D050"/>
  </sheetPr>
  <dimension ref="A1:M25"/>
  <sheetViews>
    <sheetView workbookViewId="0">
      <selection activeCell="N1" sqref="N1:O1048576"/>
    </sheetView>
  </sheetViews>
  <sheetFormatPr defaultRowHeight="15" x14ac:dyDescent="0.25"/>
  <cols>
    <col min="2" max="2" width="4.28515625" customWidth="1"/>
    <col min="3" max="3" width="16.42578125" bestFit="1" customWidth="1"/>
    <col min="4" max="4" width="14" bestFit="1" customWidth="1"/>
    <col min="5" max="6" width="16.42578125" bestFit="1" customWidth="1"/>
    <col min="7" max="8" width="15.42578125" bestFit="1" customWidth="1"/>
    <col min="9" max="9" width="16.42578125" bestFit="1" customWidth="1"/>
    <col min="10" max="10" width="14" bestFit="1" customWidth="1"/>
    <col min="11" max="11" width="15.42578125" bestFit="1" customWidth="1"/>
    <col min="12" max="12" width="4.28515625" customWidth="1"/>
    <col min="13" max="13" width="16.42578125" customWidth="1"/>
  </cols>
  <sheetData>
    <row r="1" spans="1:13" x14ac:dyDescent="0.25">
      <c r="C1" s="79" t="s">
        <v>231</v>
      </c>
      <c r="D1" s="79"/>
      <c r="E1" s="79"/>
      <c r="F1" s="79"/>
      <c r="G1" s="79"/>
      <c r="H1" s="79"/>
      <c r="I1" s="79"/>
      <c r="J1" s="79"/>
      <c r="K1" s="79"/>
      <c r="L1" s="3"/>
    </row>
    <row r="2" spans="1:13" x14ac:dyDescent="0.25">
      <c r="A2" t="s">
        <v>0</v>
      </c>
      <c r="B2" s="3"/>
      <c r="C2" s="3" t="s">
        <v>107</v>
      </c>
      <c r="D2" s="3" t="s">
        <v>108</v>
      </c>
      <c r="E2" s="3" t="s">
        <v>109</v>
      </c>
      <c r="F2" s="3" t="s">
        <v>110</v>
      </c>
      <c r="G2" s="3" t="s">
        <v>111</v>
      </c>
      <c r="H2" s="3" t="s">
        <v>112</v>
      </c>
      <c r="I2" s="3" t="s">
        <v>113</v>
      </c>
      <c r="J2" s="3" t="s">
        <v>114</v>
      </c>
      <c r="K2" s="3" t="s">
        <v>115</v>
      </c>
      <c r="L2" s="3"/>
      <c r="M2" s="3" t="s">
        <v>20</v>
      </c>
    </row>
    <row r="3" spans="1:13" x14ac:dyDescent="0.25">
      <c r="A3" s="5" t="s">
        <v>317</v>
      </c>
      <c r="B3" s="6"/>
      <c r="C3" s="60">
        <v>0</v>
      </c>
      <c r="D3" s="60">
        <v>17511.78</v>
      </c>
      <c r="E3" s="60">
        <v>17511.78</v>
      </c>
      <c r="F3" s="60">
        <v>6077301.7199999997</v>
      </c>
      <c r="G3" s="60">
        <v>17511.78</v>
      </c>
      <c r="H3" s="60">
        <v>17511.78</v>
      </c>
      <c r="I3" s="60">
        <v>6077301.7199999997</v>
      </c>
      <c r="J3" s="60">
        <v>17511.78</v>
      </c>
      <c r="K3" s="60">
        <v>17511.78</v>
      </c>
      <c r="L3" s="6"/>
      <c r="M3" s="61">
        <f t="shared" ref="M3:M22" si="0">SUM(C3:K3)</f>
        <v>12259674.119999997</v>
      </c>
    </row>
    <row r="4" spans="1:13" x14ac:dyDescent="0.25">
      <c r="A4" s="5" t="s">
        <v>47</v>
      </c>
      <c r="B4" s="6"/>
      <c r="C4" s="60">
        <v>0</v>
      </c>
      <c r="D4" s="60">
        <v>21286.3</v>
      </c>
      <c r="E4" s="60">
        <v>21286.3</v>
      </c>
      <c r="F4" s="60">
        <v>8296036.3700000001</v>
      </c>
      <c r="G4" s="60">
        <v>21286.3</v>
      </c>
      <c r="H4" s="60">
        <v>21286.3</v>
      </c>
      <c r="I4" s="60">
        <v>8296036.3700000001</v>
      </c>
      <c r="J4" s="60">
        <v>21286.3</v>
      </c>
      <c r="K4" s="60">
        <v>21286.3</v>
      </c>
      <c r="L4" s="6"/>
      <c r="M4" s="61">
        <f t="shared" si="0"/>
        <v>16719790.540000001</v>
      </c>
    </row>
    <row r="5" spans="1:13" x14ac:dyDescent="0.25">
      <c r="A5" s="5" t="s">
        <v>36</v>
      </c>
      <c r="B5" s="6"/>
      <c r="C5" s="60">
        <v>0</v>
      </c>
      <c r="D5" s="60">
        <v>19711.560000000001</v>
      </c>
      <c r="E5" s="60">
        <v>19711.560000000001</v>
      </c>
      <c r="F5" s="60">
        <v>6979402.8099999996</v>
      </c>
      <c r="G5" s="60">
        <v>19711.560000000001</v>
      </c>
      <c r="H5" s="60">
        <v>19711.560000000001</v>
      </c>
      <c r="I5" s="60">
        <v>6979402.8099999996</v>
      </c>
      <c r="J5" s="60">
        <v>19711.560000000001</v>
      </c>
      <c r="K5" s="60">
        <v>19711.560000000001</v>
      </c>
      <c r="L5" s="6"/>
      <c r="M5" s="61">
        <f t="shared" si="0"/>
        <v>14077074.98</v>
      </c>
    </row>
    <row r="6" spans="1:13" x14ac:dyDescent="0.25">
      <c r="A6" s="5" t="s">
        <v>321</v>
      </c>
      <c r="B6" s="6"/>
      <c r="C6" s="60">
        <v>11141719.810000001</v>
      </c>
      <c r="D6" s="60">
        <v>21403.279999999999</v>
      </c>
      <c r="E6" s="60">
        <v>21403.279999999999</v>
      </c>
      <c r="F6" s="60">
        <v>11141719.810000001</v>
      </c>
      <c r="G6" s="60">
        <v>21403.279999999999</v>
      </c>
      <c r="H6" s="60">
        <v>21403.279999999999</v>
      </c>
      <c r="I6" s="60">
        <v>11141719.810000001</v>
      </c>
      <c r="J6" s="60">
        <v>21403.279999999999</v>
      </c>
      <c r="K6" s="60">
        <v>21403.279999999999</v>
      </c>
      <c r="L6" s="6"/>
      <c r="M6" s="61">
        <f t="shared" si="0"/>
        <v>33553579.110000007</v>
      </c>
    </row>
    <row r="7" spans="1:13" x14ac:dyDescent="0.25">
      <c r="A7" s="5" t="s">
        <v>39</v>
      </c>
      <c r="B7" s="6"/>
      <c r="C7" s="60">
        <v>7193685.5599999996</v>
      </c>
      <c r="D7" s="60">
        <v>20475.63</v>
      </c>
      <c r="E7" s="60">
        <v>20475.63</v>
      </c>
      <c r="F7" s="60">
        <v>7193685.5599999996</v>
      </c>
      <c r="G7" s="60">
        <v>20475.63</v>
      </c>
      <c r="H7" s="60">
        <v>20475.63</v>
      </c>
      <c r="I7" s="60">
        <v>7193685.5599999996</v>
      </c>
      <c r="J7" s="60">
        <v>20475.63</v>
      </c>
      <c r="K7" s="60">
        <v>20475.63</v>
      </c>
      <c r="L7" s="6"/>
      <c r="M7" s="61">
        <f t="shared" si="0"/>
        <v>21703910.459999997</v>
      </c>
    </row>
    <row r="8" spans="1:13" x14ac:dyDescent="0.25">
      <c r="A8" s="5" t="s">
        <v>50</v>
      </c>
      <c r="B8" s="6"/>
      <c r="C8" s="60">
        <v>0</v>
      </c>
      <c r="D8" s="60">
        <v>13933.99</v>
      </c>
      <c r="E8" s="60">
        <v>13933.99</v>
      </c>
      <c r="F8" s="60">
        <v>5592176.2400000002</v>
      </c>
      <c r="G8" s="60">
        <v>13933.99</v>
      </c>
      <c r="H8" s="60">
        <v>13933.99</v>
      </c>
      <c r="I8" s="60">
        <v>5592176.2400000002</v>
      </c>
      <c r="J8" s="60">
        <v>13933.99</v>
      </c>
      <c r="K8" s="60">
        <v>13933.99</v>
      </c>
      <c r="L8" s="3"/>
      <c r="M8" s="61">
        <f t="shared" si="0"/>
        <v>11267956.420000002</v>
      </c>
    </row>
    <row r="9" spans="1:13" x14ac:dyDescent="0.25">
      <c r="A9" s="5" t="s">
        <v>53</v>
      </c>
      <c r="B9" s="6"/>
      <c r="C9" s="60">
        <v>0</v>
      </c>
      <c r="D9" s="60">
        <v>17702.27</v>
      </c>
      <c r="E9" s="60">
        <v>17702.27</v>
      </c>
      <c r="F9" s="60">
        <v>9328987.0299999993</v>
      </c>
      <c r="G9" s="60">
        <v>17702.27</v>
      </c>
      <c r="H9" s="60">
        <v>17702.27</v>
      </c>
      <c r="I9" s="60">
        <v>9328987.0299999993</v>
      </c>
      <c r="J9" s="60">
        <v>17702.27</v>
      </c>
      <c r="K9" s="60">
        <v>17702.27</v>
      </c>
      <c r="L9" s="6"/>
      <c r="M9" s="61">
        <f t="shared" si="0"/>
        <v>18764187.679999996</v>
      </c>
    </row>
    <row r="10" spans="1:13" x14ac:dyDescent="0.25">
      <c r="A10" s="5" t="s">
        <v>56</v>
      </c>
      <c r="B10" s="6"/>
      <c r="C10" s="60">
        <v>10229763.619999999</v>
      </c>
      <c r="D10" s="60">
        <v>28546.27</v>
      </c>
      <c r="E10" s="60">
        <v>28546.27</v>
      </c>
      <c r="F10" s="60">
        <v>10229763.619999999</v>
      </c>
      <c r="G10" s="60">
        <v>28546.27</v>
      </c>
      <c r="H10" s="60">
        <v>28546.27</v>
      </c>
      <c r="I10" s="60">
        <v>10229763.619999999</v>
      </c>
      <c r="J10" s="60">
        <v>28546.27</v>
      </c>
      <c r="K10" s="60">
        <v>28546.27</v>
      </c>
      <c r="L10" s="6"/>
      <c r="M10" s="61">
        <f t="shared" si="0"/>
        <v>30860568.479999997</v>
      </c>
    </row>
    <row r="11" spans="1:13" x14ac:dyDescent="0.25">
      <c r="A11" s="5" t="s">
        <v>91</v>
      </c>
      <c r="B11" s="6"/>
      <c r="C11" s="60">
        <v>3657912.15</v>
      </c>
      <c r="D11" s="60">
        <v>16484.37</v>
      </c>
      <c r="E11" s="60">
        <v>16484.37</v>
      </c>
      <c r="F11" s="60">
        <v>3657912.15</v>
      </c>
      <c r="G11" s="60">
        <v>16484.37</v>
      </c>
      <c r="H11" s="60">
        <v>16484.37</v>
      </c>
      <c r="I11" s="60">
        <v>3657912.15</v>
      </c>
      <c r="J11" s="60">
        <v>16484.37</v>
      </c>
      <c r="K11" s="60">
        <v>16484.37</v>
      </c>
      <c r="L11" s="6"/>
      <c r="M11" s="61">
        <f t="shared" si="0"/>
        <v>11072642.669999998</v>
      </c>
    </row>
    <row r="12" spans="1:13" x14ac:dyDescent="0.25">
      <c r="A12" s="5" t="s">
        <v>154</v>
      </c>
      <c r="B12" s="6"/>
      <c r="C12" s="60">
        <v>3705735.57</v>
      </c>
      <c r="D12" s="60">
        <v>12060.76</v>
      </c>
      <c r="E12" s="60">
        <v>12060.76</v>
      </c>
      <c r="F12" s="60">
        <v>3705735.57</v>
      </c>
      <c r="G12" s="60">
        <v>12060.76</v>
      </c>
      <c r="H12" s="60">
        <v>12060.76</v>
      </c>
      <c r="I12" s="60">
        <v>3705735.57</v>
      </c>
      <c r="J12" s="60">
        <v>12060.76</v>
      </c>
      <c r="K12" s="60">
        <v>12060.76</v>
      </c>
      <c r="L12" s="6"/>
      <c r="M12" s="61">
        <f t="shared" si="0"/>
        <v>11189571.269999998</v>
      </c>
    </row>
    <row r="13" spans="1:13" x14ac:dyDescent="0.25">
      <c r="A13" s="5" t="s">
        <v>63</v>
      </c>
      <c r="B13" s="6"/>
      <c r="C13" s="60">
        <v>0</v>
      </c>
      <c r="D13" s="60">
        <v>17692.439999999999</v>
      </c>
      <c r="E13" s="60">
        <v>17692.439999999999</v>
      </c>
      <c r="F13" s="60">
        <v>6215869.5099999998</v>
      </c>
      <c r="G13" s="60">
        <v>17692.439999999999</v>
      </c>
      <c r="H13" s="60">
        <v>17692.439999999999</v>
      </c>
      <c r="I13" s="60">
        <v>6215869.5099999998</v>
      </c>
      <c r="J13" s="60">
        <v>17692.439999999999</v>
      </c>
      <c r="K13" s="60">
        <v>17692.439999999999</v>
      </c>
      <c r="L13" s="6"/>
      <c r="M13" s="61">
        <f t="shared" si="0"/>
        <v>12537893.66</v>
      </c>
    </row>
    <row r="14" spans="1:13" x14ac:dyDescent="0.25">
      <c r="A14" s="5" t="s">
        <v>157</v>
      </c>
      <c r="B14" s="6"/>
      <c r="C14" s="60">
        <v>3879966.45</v>
      </c>
      <c r="D14" s="60">
        <v>12176.82</v>
      </c>
      <c r="E14" s="60">
        <v>12176.82</v>
      </c>
      <c r="F14" s="60">
        <v>3879966.45</v>
      </c>
      <c r="G14" s="60">
        <v>12176.82</v>
      </c>
      <c r="H14" s="60">
        <v>12176.82</v>
      </c>
      <c r="I14" s="60">
        <v>3879966.45</v>
      </c>
      <c r="J14" s="60">
        <v>12176.82</v>
      </c>
      <c r="K14" s="60">
        <v>12176.82</v>
      </c>
      <c r="L14" s="3"/>
      <c r="M14" s="61">
        <f t="shared" si="0"/>
        <v>11712960.270000001</v>
      </c>
    </row>
    <row r="15" spans="1:13" x14ac:dyDescent="0.25">
      <c r="A15" s="5" t="s">
        <v>67</v>
      </c>
      <c r="B15" s="6"/>
      <c r="C15" s="60">
        <v>0</v>
      </c>
      <c r="D15" s="60">
        <v>17409.28</v>
      </c>
      <c r="E15" s="60">
        <v>17409.28</v>
      </c>
      <c r="F15" s="60">
        <v>5943441.1699999999</v>
      </c>
      <c r="G15" s="60">
        <v>17409.28</v>
      </c>
      <c r="H15" s="60">
        <v>17409.28</v>
      </c>
      <c r="I15" s="60">
        <v>5943441.1699999999</v>
      </c>
      <c r="J15" s="60">
        <v>17409.28</v>
      </c>
      <c r="K15" s="60">
        <v>17409.28</v>
      </c>
      <c r="L15" s="6"/>
      <c r="M15" s="61">
        <f t="shared" si="0"/>
        <v>11991338.02</v>
      </c>
    </row>
    <row r="16" spans="1:13" x14ac:dyDescent="0.25">
      <c r="A16" s="5" t="s">
        <v>128</v>
      </c>
      <c r="B16" s="6"/>
      <c r="C16" s="60">
        <v>0</v>
      </c>
      <c r="D16" s="60">
        <v>19711.560000000001</v>
      </c>
      <c r="E16" s="60">
        <v>19711.560000000001</v>
      </c>
      <c r="F16" s="60">
        <v>6979402.8099999996</v>
      </c>
      <c r="G16" s="60">
        <v>19711.560000000001</v>
      </c>
      <c r="H16" s="60">
        <v>19711.560000000001</v>
      </c>
      <c r="I16" s="60">
        <v>6979402.8099999996</v>
      </c>
      <c r="J16" s="60">
        <v>19711.560000000001</v>
      </c>
      <c r="K16" s="60">
        <v>19711.560000000001</v>
      </c>
      <c r="L16" s="6"/>
      <c r="M16" s="61">
        <f t="shared" si="0"/>
        <v>14077074.98</v>
      </c>
    </row>
    <row r="17" spans="1:13" x14ac:dyDescent="0.25">
      <c r="A17" s="5" t="s">
        <v>71</v>
      </c>
      <c r="B17" s="6"/>
      <c r="C17" s="60">
        <v>0</v>
      </c>
      <c r="D17" s="60">
        <v>23056.6</v>
      </c>
      <c r="E17" s="60">
        <v>23056.6</v>
      </c>
      <c r="F17" s="60">
        <v>12393752.07</v>
      </c>
      <c r="G17" s="60">
        <v>23056.6</v>
      </c>
      <c r="H17" s="60">
        <v>23056.6</v>
      </c>
      <c r="I17" s="60">
        <v>12393752.07</v>
      </c>
      <c r="J17" s="60">
        <v>23056.6</v>
      </c>
      <c r="K17" s="60">
        <v>23056.6</v>
      </c>
      <c r="L17" s="6"/>
      <c r="M17" s="61">
        <f t="shared" si="0"/>
        <v>24925843.740000002</v>
      </c>
    </row>
    <row r="18" spans="1:13" x14ac:dyDescent="0.25">
      <c r="A18" s="5" t="s">
        <v>130</v>
      </c>
      <c r="B18" s="6"/>
      <c r="C18" s="60">
        <v>0</v>
      </c>
      <c r="D18" s="60">
        <v>17641.62</v>
      </c>
      <c r="E18" s="60">
        <v>17641.62</v>
      </c>
      <c r="F18" s="60">
        <v>6367161.3799999999</v>
      </c>
      <c r="G18" s="60">
        <v>17641.62</v>
      </c>
      <c r="H18" s="60">
        <v>17641.62</v>
      </c>
      <c r="I18" s="60">
        <v>6367161.3799999999</v>
      </c>
      <c r="J18" s="60">
        <v>17641.62</v>
      </c>
      <c r="K18" s="60">
        <v>17641.62</v>
      </c>
      <c r="L18" s="3"/>
      <c r="M18" s="61">
        <f t="shared" si="0"/>
        <v>12840172.479999999</v>
      </c>
    </row>
    <row r="19" spans="1:13" x14ac:dyDescent="0.25">
      <c r="A19" s="52" t="s">
        <v>43</v>
      </c>
      <c r="B19" s="6"/>
      <c r="C19" s="60">
        <v>6917206.5300000003</v>
      </c>
      <c r="D19" s="60">
        <v>17748.45</v>
      </c>
      <c r="E19" s="60">
        <v>17748.45</v>
      </c>
      <c r="F19" s="60">
        <v>6917206.5300000003</v>
      </c>
      <c r="G19" s="60">
        <v>17748.45</v>
      </c>
      <c r="H19" s="60">
        <v>17748.45</v>
      </c>
      <c r="I19" s="60">
        <v>6917206.5300000003</v>
      </c>
      <c r="J19" s="60">
        <v>17748.45</v>
      </c>
      <c r="K19" s="60">
        <v>17748.45</v>
      </c>
      <c r="L19" s="6"/>
      <c r="M19" s="61">
        <f t="shared" si="0"/>
        <v>20858110.289999999</v>
      </c>
    </row>
    <row r="20" spans="1:13" x14ac:dyDescent="0.25">
      <c r="A20" s="5" t="s">
        <v>76</v>
      </c>
      <c r="B20" s="6"/>
      <c r="C20" s="60">
        <v>0</v>
      </c>
      <c r="D20" s="60">
        <v>19333.189999999999</v>
      </c>
      <c r="E20" s="60">
        <v>19333.189999999999</v>
      </c>
      <c r="F20" s="60">
        <v>9560487.1999999993</v>
      </c>
      <c r="G20" s="60">
        <v>19333.189999999999</v>
      </c>
      <c r="H20" s="60">
        <v>19333.189999999999</v>
      </c>
      <c r="I20" s="60">
        <v>9560487.1999999993</v>
      </c>
      <c r="J20" s="60">
        <v>19333.189999999999</v>
      </c>
      <c r="K20" s="60">
        <v>19333.189999999999</v>
      </c>
      <c r="L20" s="6"/>
      <c r="M20" s="61">
        <f t="shared" si="0"/>
        <v>19236973.539999999</v>
      </c>
    </row>
    <row r="21" spans="1:13" x14ac:dyDescent="0.25">
      <c r="A21" s="5" t="s">
        <v>80</v>
      </c>
      <c r="B21" s="6"/>
      <c r="C21" s="60">
        <v>0</v>
      </c>
      <c r="D21" s="60">
        <v>15944.09</v>
      </c>
      <c r="E21" s="60">
        <v>15944.09</v>
      </c>
      <c r="F21" s="60">
        <v>8550366.6300000008</v>
      </c>
      <c r="G21" s="60">
        <v>15944.09</v>
      </c>
      <c r="H21" s="60">
        <v>15944.09</v>
      </c>
      <c r="I21" s="60">
        <v>8550366.6300000008</v>
      </c>
      <c r="J21" s="60">
        <v>15944.09</v>
      </c>
      <c r="K21" s="60">
        <v>15944.09</v>
      </c>
      <c r="L21" s="6"/>
      <c r="M21" s="61">
        <f t="shared" si="0"/>
        <v>17196397.800000001</v>
      </c>
    </row>
    <row r="22" spans="1:13" x14ac:dyDescent="0.25">
      <c r="A22" s="5" t="s">
        <v>85</v>
      </c>
      <c r="B22" s="6"/>
      <c r="C22" s="60">
        <v>0</v>
      </c>
      <c r="D22" s="60">
        <v>21309.97</v>
      </c>
      <c r="E22" s="60">
        <v>21309.97</v>
      </c>
      <c r="F22" s="60">
        <v>8305259.3099999996</v>
      </c>
      <c r="G22" s="60">
        <v>21309.97</v>
      </c>
      <c r="H22" s="60">
        <v>21309.97</v>
      </c>
      <c r="I22" s="60">
        <v>8305259.3099999996</v>
      </c>
      <c r="J22" s="60">
        <v>21309.97</v>
      </c>
      <c r="K22" s="60">
        <v>21309.97</v>
      </c>
      <c r="L22" s="6"/>
      <c r="M22" s="61">
        <f t="shared" si="0"/>
        <v>16738378.440000001</v>
      </c>
    </row>
    <row r="23" spans="1:13" x14ac:dyDescent="0.25">
      <c r="C23">
        <v>3</v>
      </c>
      <c r="D23">
        <v>4</v>
      </c>
      <c r="E23">
        <v>5</v>
      </c>
      <c r="F23">
        <v>6</v>
      </c>
      <c r="G23">
        <v>7</v>
      </c>
      <c r="H23">
        <v>8</v>
      </c>
      <c r="I23">
        <v>9</v>
      </c>
      <c r="J23">
        <v>10</v>
      </c>
      <c r="K23">
        <v>11</v>
      </c>
      <c r="M23" s="8"/>
    </row>
    <row r="25" spans="1:13" x14ac:dyDescent="0.25">
      <c r="A25" s="23" t="s">
        <v>146</v>
      </c>
    </row>
  </sheetData>
  <autoFilter ref="A2:M20" xr:uid="{00000000-0009-0000-0000-000005000000}"/>
  <mergeCells count="1">
    <mergeCell ref="C1:K1"/>
  </mergeCells>
  <hyperlinks>
    <hyperlink ref="A25" location="Introdução!A1" display="Introdução!A1" xr:uid="{BDC2FCC2-DDE4-49DB-A047-EA29C4366961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145A-95BA-460D-8A9D-577AB39752A5}">
  <sheetPr codeName="Planilha5">
    <tabColor rgb="FF92D050"/>
  </sheetPr>
  <dimension ref="A1:M25"/>
  <sheetViews>
    <sheetView workbookViewId="0">
      <selection activeCell="N1" sqref="N1:O1048576"/>
    </sheetView>
  </sheetViews>
  <sheetFormatPr defaultRowHeight="15" x14ac:dyDescent="0.25"/>
  <cols>
    <col min="2" max="2" width="4.28515625" customWidth="1"/>
    <col min="3" max="3" width="16.42578125" bestFit="1" customWidth="1"/>
    <col min="4" max="4" width="17" customWidth="1"/>
    <col min="5" max="6" width="16.42578125" bestFit="1" customWidth="1"/>
    <col min="7" max="8" width="15.42578125" bestFit="1" customWidth="1"/>
    <col min="9" max="9" width="16.42578125" bestFit="1" customWidth="1"/>
    <col min="10" max="10" width="16.7109375" customWidth="1"/>
    <col min="11" max="11" width="15.42578125" bestFit="1" customWidth="1"/>
    <col min="12" max="12" width="4.28515625" customWidth="1"/>
    <col min="13" max="13" width="16.42578125" customWidth="1"/>
  </cols>
  <sheetData>
    <row r="1" spans="1:13" x14ac:dyDescent="0.25">
      <c r="C1" s="79" t="s">
        <v>324</v>
      </c>
      <c r="D1" s="79"/>
      <c r="E1" s="79"/>
      <c r="F1" s="79"/>
      <c r="G1" s="79"/>
      <c r="H1" s="79"/>
      <c r="I1" s="79"/>
      <c r="J1" s="79"/>
      <c r="K1" s="79"/>
      <c r="L1" s="3"/>
    </row>
    <row r="2" spans="1:13" x14ac:dyDescent="0.25">
      <c r="A2" t="s">
        <v>0</v>
      </c>
      <c r="B2" s="3"/>
      <c r="C2" s="3" t="s">
        <v>107</v>
      </c>
      <c r="D2" s="3" t="s">
        <v>108</v>
      </c>
      <c r="E2" s="3" t="s">
        <v>109</v>
      </c>
      <c r="F2" s="3" t="s">
        <v>110</v>
      </c>
      <c r="G2" s="3" t="s">
        <v>111</v>
      </c>
      <c r="H2" s="3" t="s">
        <v>112</v>
      </c>
      <c r="I2" s="3" t="s">
        <v>113</v>
      </c>
      <c r="J2" s="3" t="s">
        <v>114</v>
      </c>
      <c r="K2" s="3" t="s">
        <v>115</v>
      </c>
      <c r="L2" s="3"/>
      <c r="M2" s="3" t="s">
        <v>20</v>
      </c>
    </row>
    <row r="3" spans="1:13" x14ac:dyDescent="0.25">
      <c r="A3" s="5" t="s">
        <v>317</v>
      </c>
      <c r="B3" s="6"/>
      <c r="C3" s="6">
        <v>0</v>
      </c>
      <c r="D3" s="6">
        <v>59765.05</v>
      </c>
      <c r="E3" s="6">
        <v>59765.05</v>
      </c>
      <c r="F3" s="6">
        <v>2053458.8</v>
      </c>
      <c r="G3" s="6">
        <v>59765.05</v>
      </c>
      <c r="H3" s="6">
        <v>59765.05</v>
      </c>
      <c r="I3" s="6">
        <v>2053458.8</v>
      </c>
      <c r="J3" s="6">
        <v>59765.05</v>
      </c>
      <c r="K3" s="6">
        <v>59765.05</v>
      </c>
      <c r="L3" s="6"/>
      <c r="M3" s="53">
        <f>SUM(C3:K3)</f>
        <v>4465507.8999999994</v>
      </c>
    </row>
    <row r="4" spans="1:13" x14ac:dyDescent="0.25">
      <c r="A4" s="5" t="s">
        <v>47</v>
      </c>
      <c r="B4" s="6"/>
      <c r="C4" s="6">
        <v>0</v>
      </c>
      <c r="D4" s="6">
        <v>13624.68</v>
      </c>
      <c r="E4" s="6">
        <v>13624.68</v>
      </c>
      <c r="F4" s="6">
        <v>488370.42</v>
      </c>
      <c r="G4" s="6">
        <v>13624.68</v>
      </c>
      <c r="H4" s="6">
        <v>13624.68</v>
      </c>
      <c r="I4" s="6">
        <v>488370.42</v>
      </c>
      <c r="J4" s="6">
        <v>13624.68</v>
      </c>
      <c r="K4" s="6">
        <v>13624.68</v>
      </c>
      <c r="L4" s="6"/>
      <c r="M4" s="53">
        <f t="shared" ref="M4:M22" si="0">SUM(C4:K4)</f>
        <v>1058488.9200000002</v>
      </c>
    </row>
    <row r="5" spans="1:13" x14ac:dyDescent="0.25">
      <c r="A5" s="5" t="s">
        <v>36</v>
      </c>
      <c r="B5" s="6"/>
      <c r="C5" s="6">
        <v>0</v>
      </c>
      <c r="D5" s="6">
        <v>12330.94</v>
      </c>
      <c r="E5" s="6">
        <v>12330.94</v>
      </c>
      <c r="F5" s="6">
        <v>409341.94</v>
      </c>
      <c r="G5" s="6">
        <v>12330.94</v>
      </c>
      <c r="H5" s="6">
        <v>12330.94</v>
      </c>
      <c r="I5" s="6">
        <v>409341.94</v>
      </c>
      <c r="J5" s="6">
        <v>12330.94</v>
      </c>
      <c r="K5" s="6">
        <v>12330.94</v>
      </c>
      <c r="L5" s="6"/>
      <c r="M5" s="53">
        <f t="shared" si="0"/>
        <v>892669.5199999999</v>
      </c>
    </row>
    <row r="6" spans="1:13" x14ac:dyDescent="0.25">
      <c r="A6" s="5" t="s">
        <v>321</v>
      </c>
      <c r="B6" s="6"/>
      <c r="C6" s="6">
        <v>2183369.27</v>
      </c>
      <c r="D6" s="6">
        <v>63546.04</v>
      </c>
      <c r="E6" s="6">
        <v>63546.04</v>
      </c>
      <c r="F6" s="6">
        <v>2183369.27</v>
      </c>
      <c r="G6" s="6">
        <v>63546.04</v>
      </c>
      <c r="H6" s="6">
        <v>63546.04</v>
      </c>
      <c r="I6" s="6">
        <v>2183369.27</v>
      </c>
      <c r="J6" s="6">
        <v>63546.04</v>
      </c>
      <c r="K6" s="6">
        <v>63546.04</v>
      </c>
      <c r="L6" s="6"/>
      <c r="M6" s="53">
        <f t="shared" si="0"/>
        <v>6931384.0500000007</v>
      </c>
    </row>
    <row r="7" spans="1:13" x14ac:dyDescent="0.25">
      <c r="A7" s="5" t="s">
        <v>39</v>
      </c>
      <c r="B7" s="6"/>
      <c r="C7" s="6">
        <v>754652.29</v>
      </c>
      <c r="D7" s="6">
        <v>22073.46</v>
      </c>
      <c r="E7" s="6">
        <v>22073.46</v>
      </c>
      <c r="F7" s="6">
        <v>754652.29</v>
      </c>
      <c r="G7" s="6">
        <v>22073.46</v>
      </c>
      <c r="H7" s="6">
        <v>22073.46</v>
      </c>
      <c r="I7" s="6">
        <v>754652.29</v>
      </c>
      <c r="J7" s="6">
        <v>22073.46</v>
      </c>
      <c r="K7" s="6">
        <v>22073.46</v>
      </c>
      <c r="L7" s="6"/>
      <c r="M7" s="53">
        <f t="shared" si="0"/>
        <v>2396397.63</v>
      </c>
    </row>
    <row r="8" spans="1:13" x14ac:dyDescent="0.25">
      <c r="A8" s="5" t="s">
        <v>50</v>
      </c>
      <c r="B8" s="6"/>
      <c r="C8" s="6">
        <v>0</v>
      </c>
      <c r="D8" s="6">
        <v>12143.2</v>
      </c>
      <c r="E8" s="6">
        <v>12143.2</v>
      </c>
      <c r="F8" s="6">
        <v>462203.3</v>
      </c>
      <c r="G8" s="6">
        <v>12143.2</v>
      </c>
      <c r="H8" s="6">
        <v>12143.2</v>
      </c>
      <c r="I8" s="6">
        <v>462203.3</v>
      </c>
      <c r="J8" s="6">
        <v>12143.2</v>
      </c>
      <c r="K8" s="6">
        <v>12143.2</v>
      </c>
      <c r="L8" s="3"/>
      <c r="M8" s="53">
        <f t="shared" si="0"/>
        <v>997265.79999999993</v>
      </c>
    </row>
    <row r="9" spans="1:13" x14ac:dyDescent="0.25">
      <c r="A9" s="5" t="s">
        <v>53</v>
      </c>
      <c r="B9" s="6"/>
      <c r="C9" s="6">
        <v>0</v>
      </c>
      <c r="D9" s="6">
        <v>10635.84</v>
      </c>
      <c r="E9" s="6">
        <v>10635.84</v>
      </c>
      <c r="F9" s="6">
        <v>363620.45</v>
      </c>
      <c r="G9" s="6">
        <v>10635.84</v>
      </c>
      <c r="H9" s="6">
        <v>10635.84</v>
      </c>
      <c r="I9" s="6">
        <v>363620.45</v>
      </c>
      <c r="J9" s="6">
        <v>10635.84</v>
      </c>
      <c r="K9" s="6">
        <v>10635.84</v>
      </c>
      <c r="L9" s="6"/>
      <c r="M9" s="53">
        <f t="shared" si="0"/>
        <v>791055.94</v>
      </c>
    </row>
    <row r="10" spans="1:13" x14ac:dyDescent="0.25">
      <c r="A10" s="5" t="s">
        <v>56</v>
      </c>
      <c r="B10" s="6"/>
      <c r="C10" s="6">
        <v>695093.54</v>
      </c>
      <c r="D10" s="6">
        <v>20680.34</v>
      </c>
      <c r="E10" s="6">
        <v>20680.34</v>
      </c>
      <c r="F10" s="6">
        <v>695093.54</v>
      </c>
      <c r="G10" s="6">
        <v>20680.34</v>
      </c>
      <c r="H10" s="6">
        <v>20680.34</v>
      </c>
      <c r="I10" s="6">
        <v>695093.54</v>
      </c>
      <c r="J10" s="6">
        <v>20680.34</v>
      </c>
      <c r="K10" s="6">
        <v>20680.34</v>
      </c>
      <c r="L10" s="6"/>
      <c r="M10" s="53">
        <f t="shared" si="0"/>
        <v>2209362.66</v>
      </c>
    </row>
    <row r="11" spans="1:13" x14ac:dyDescent="0.25">
      <c r="A11" s="5" t="s">
        <v>91</v>
      </c>
      <c r="B11" s="6"/>
      <c r="C11" s="6">
        <v>27842.92</v>
      </c>
      <c r="D11" s="6">
        <v>791.8</v>
      </c>
      <c r="E11" s="6">
        <v>791.8</v>
      </c>
      <c r="F11" s="6">
        <v>27842.92</v>
      </c>
      <c r="G11" s="6">
        <v>791.8</v>
      </c>
      <c r="H11" s="6">
        <v>791.8</v>
      </c>
      <c r="I11" s="6">
        <v>27842.92</v>
      </c>
      <c r="J11" s="6">
        <v>791.8</v>
      </c>
      <c r="K11" s="6">
        <v>791.8</v>
      </c>
      <c r="L11" s="6"/>
      <c r="M11" s="53">
        <f t="shared" si="0"/>
        <v>88279.56</v>
      </c>
    </row>
    <row r="12" spans="1:13" x14ac:dyDescent="0.25">
      <c r="A12" s="5" t="s">
        <v>154</v>
      </c>
      <c r="B12" s="6"/>
      <c r="C12" s="6">
        <v>84314.86</v>
      </c>
      <c r="D12" s="6">
        <v>2502.63</v>
      </c>
      <c r="E12" s="6">
        <v>2502.63</v>
      </c>
      <c r="F12" s="6">
        <v>84314.86</v>
      </c>
      <c r="G12" s="6">
        <v>2502.63</v>
      </c>
      <c r="H12" s="6">
        <v>2502.63</v>
      </c>
      <c r="I12" s="6">
        <v>84314.86</v>
      </c>
      <c r="J12" s="6">
        <v>2502.63</v>
      </c>
      <c r="K12" s="6">
        <v>2502.63</v>
      </c>
      <c r="L12" s="6"/>
      <c r="M12" s="53">
        <f t="shared" si="0"/>
        <v>267960.36000000004</v>
      </c>
    </row>
    <row r="13" spans="1:13" x14ac:dyDescent="0.25">
      <c r="A13" s="5" t="s">
        <v>63</v>
      </c>
      <c r="B13" s="6"/>
      <c r="C13" s="6">
        <v>0</v>
      </c>
      <c r="D13" s="6">
        <v>13515.7</v>
      </c>
      <c r="E13" s="6">
        <v>13515.7</v>
      </c>
      <c r="F13" s="6">
        <v>462077.68</v>
      </c>
      <c r="G13" s="6">
        <v>13515.7</v>
      </c>
      <c r="H13" s="6">
        <v>13515.7</v>
      </c>
      <c r="I13" s="6">
        <v>462077.68</v>
      </c>
      <c r="J13" s="6">
        <v>13515.7</v>
      </c>
      <c r="K13" s="6">
        <v>13515.7</v>
      </c>
      <c r="L13" s="6"/>
      <c r="M13" s="53">
        <f t="shared" si="0"/>
        <v>1005249.5599999999</v>
      </c>
    </row>
    <row r="14" spans="1:13" x14ac:dyDescent="0.25">
      <c r="A14" s="5" t="s">
        <v>157</v>
      </c>
      <c r="B14" s="6"/>
      <c r="C14" s="6">
        <v>160091.51</v>
      </c>
      <c r="D14" s="6">
        <v>4751.83</v>
      </c>
      <c r="E14" s="6">
        <v>4751.83</v>
      </c>
      <c r="F14" s="6">
        <v>160091.51</v>
      </c>
      <c r="G14" s="6">
        <v>4751.83</v>
      </c>
      <c r="H14" s="6">
        <v>4751.83</v>
      </c>
      <c r="I14" s="6">
        <v>160091.51</v>
      </c>
      <c r="J14" s="6">
        <v>4751.83</v>
      </c>
      <c r="K14" s="6">
        <v>4751.83</v>
      </c>
      <c r="L14" s="3"/>
      <c r="M14" s="53">
        <f t="shared" si="0"/>
        <v>508785.51000000007</v>
      </c>
    </row>
    <row r="15" spans="1:13" x14ac:dyDescent="0.25">
      <c r="A15" s="5" t="s">
        <v>67</v>
      </c>
      <c r="B15" s="6"/>
      <c r="C15" s="6">
        <v>0</v>
      </c>
      <c r="D15" s="6">
        <v>10295.629999999999</v>
      </c>
      <c r="E15" s="6">
        <v>10295.629999999999</v>
      </c>
      <c r="F15" s="6">
        <v>346864.95</v>
      </c>
      <c r="G15" s="6">
        <v>10295.629999999999</v>
      </c>
      <c r="H15" s="6">
        <v>10295.629999999999</v>
      </c>
      <c r="I15" s="6">
        <v>346864.95</v>
      </c>
      <c r="J15" s="6">
        <v>10295.629999999999</v>
      </c>
      <c r="K15" s="6">
        <v>10295.629999999999</v>
      </c>
      <c r="L15" s="6"/>
      <c r="M15" s="53">
        <f t="shared" si="0"/>
        <v>755503.68</v>
      </c>
    </row>
    <row r="16" spans="1:13" x14ac:dyDescent="0.25">
      <c r="A16" s="5" t="s">
        <v>128</v>
      </c>
      <c r="B16" s="6"/>
      <c r="C16" s="6">
        <v>0</v>
      </c>
      <c r="D16" s="6">
        <v>12330.94</v>
      </c>
      <c r="E16" s="6">
        <v>12330.94</v>
      </c>
      <c r="F16" s="6">
        <v>409341.94</v>
      </c>
      <c r="G16" s="6">
        <v>12330.94</v>
      </c>
      <c r="H16" s="6">
        <v>12330.94</v>
      </c>
      <c r="I16" s="6">
        <v>409341.94</v>
      </c>
      <c r="J16" s="6">
        <v>12330.94</v>
      </c>
      <c r="K16" s="6">
        <v>12330.94</v>
      </c>
      <c r="L16" s="6"/>
      <c r="M16" s="53">
        <f t="shared" si="0"/>
        <v>892669.5199999999</v>
      </c>
    </row>
    <row r="17" spans="1:13" x14ac:dyDescent="0.25">
      <c r="A17" s="5" t="s">
        <v>71</v>
      </c>
      <c r="B17" s="6"/>
      <c r="C17" s="6">
        <v>0</v>
      </c>
      <c r="D17" s="6">
        <v>19007.669999999998</v>
      </c>
      <c r="E17" s="6">
        <v>19007.669999999998</v>
      </c>
      <c r="F17" s="6">
        <v>638872.74</v>
      </c>
      <c r="G17" s="6">
        <v>19007.669999999998</v>
      </c>
      <c r="H17" s="6">
        <v>19007.669999999998</v>
      </c>
      <c r="I17" s="6">
        <v>638872.74</v>
      </c>
      <c r="J17" s="6">
        <v>19007.669999999998</v>
      </c>
      <c r="K17" s="6">
        <v>19007.669999999998</v>
      </c>
      <c r="L17" s="6"/>
      <c r="M17" s="53">
        <f t="shared" si="0"/>
        <v>1391791.5</v>
      </c>
    </row>
    <row r="18" spans="1:13" x14ac:dyDescent="0.25">
      <c r="A18" s="5" t="s">
        <v>130</v>
      </c>
      <c r="B18" s="6"/>
      <c r="C18" s="6">
        <v>0</v>
      </c>
      <c r="D18" s="6">
        <v>24954.89</v>
      </c>
      <c r="E18" s="6">
        <v>24954.89</v>
      </c>
      <c r="F18" s="6">
        <v>888224.13</v>
      </c>
      <c r="G18" s="6">
        <v>24954.89</v>
      </c>
      <c r="H18" s="6">
        <v>24954.89</v>
      </c>
      <c r="I18" s="6">
        <v>888224.13</v>
      </c>
      <c r="J18" s="6">
        <v>24954.89</v>
      </c>
      <c r="K18" s="6">
        <v>24954.89</v>
      </c>
      <c r="L18" s="3"/>
      <c r="M18" s="53">
        <f t="shared" si="0"/>
        <v>1926177.5999999999</v>
      </c>
    </row>
    <row r="19" spans="1:13" x14ac:dyDescent="0.25">
      <c r="A19" s="52" t="s">
        <v>43</v>
      </c>
      <c r="B19" s="6"/>
      <c r="C19" s="6">
        <v>488370.42</v>
      </c>
      <c r="D19" s="6">
        <v>13624.68</v>
      </c>
      <c r="E19" s="6">
        <v>13624.68</v>
      </c>
      <c r="F19" s="6">
        <v>488370.42</v>
      </c>
      <c r="G19" s="6">
        <v>13624.68</v>
      </c>
      <c r="H19" s="6">
        <v>13624.68</v>
      </c>
      <c r="I19" s="6">
        <v>488370.42</v>
      </c>
      <c r="J19" s="6">
        <v>13624.68</v>
      </c>
      <c r="K19" s="6">
        <v>13624.68</v>
      </c>
      <c r="L19" s="6"/>
      <c r="M19" s="53">
        <f t="shared" si="0"/>
        <v>1546859.3399999999</v>
      </c>
    </row>
    <row r="20" spans="1:13" x14ac:dyDescent="0.25">
      <c r="A20" s="5" t="s">
        <v>76</v>
      </c>
      <c r="B20" s="6"/>
      <c r="C20" s="6">
        <v>0</v>
      </c>
      <c r="D20" s="6">
        <v>20512.22</v>
      </c>
      <c r="E20" s="6">
        <v>20512.22</v>
      </c>
      <c r="F20" s="6">
        <v>629811.28</v>
      </c>
      <c r="G20" s="6">
        <v>20512.22</v>
      </c>
      <c r="H20" s="6">
        <v>20512.22</v>
      </c>
      <c r="I20" s="6">
        <v>629811.28</v>
      </c>
      <c r="J20" s="6">
        <v>20512.22</v>
      </c>
      <c r="K20" s="6">
        <v>20512.22</v>
      </c>
      <c r="L20" s="6"/>
      <c r="M20" s="53">
        <f t="shared" si="0"/>
        <v>1382695.88</v>
      </c>
    </row>
    <row r="21" spans="1:13" x14ac:dyDescent="0.25">
      <c r="A21" s="5" t="s">
        <v>80</v>
      </c>
      <c r="B21" s="6"/>
      <c r="C21" s="6">
        <v>0</v>
      </c>
      <c r="D21" s="6">
        <v>15820.52</v>
      </c>
      <c r="E21" s="6">
        <v>15820.52</v>
      </c>
      <c r="F21" s="6">
        <v>559107.9</v>
      </c>
      <c r="G21" s="6">
        <v>15820.52</v>
      </c>
      <c r="H21" s="6">
        <v>15820.52</v>
      </c>
      <c r="I21" s="6">
        <v>559107.9</v>
      </c>
      <c r="J21" s="6">
        <v>15820.52</v>
      </c>
      <c r="K21" s="6">
        <v>15820.52</v>
      </c>
      <c r="L21" s="6"/>
      <c r="M21" s="53">
        <f t="shared" si="0"/>
        <v>1213138.9200000002</v>
      </c>
    </row>
    <row r="22" spans="1:13" x14ac:dyDescent="0.25">
      <c r="A22" s="5" t="s">
        <v>85</v>
      </c>
      <c r="B22" s="6"/>
      <c r="C22" s="6">
        <v>0</v>
      </c>
      <c r="D22" s="6">
        <v>13834.29</v>
      </c>
      <c r="E22" s="6">
        <v>13834.29</v>
      </c>
      <c r="F22" s="6">
        <v>495883.81</v>
      </c>
      <c r="G22" s="6">
        <v>13834.29</v>
      </c>
      <c r="H22" s="6">
        <v>13834.29</v>
      </c>
      <c r="I22" s="6">
        <v>495883.81</v>
      </c>
      <c r="J22" s="6">
        <v>13834.29</v>
      </c>
      <c r="K22" s="6">
        <v>13834.29</v>
      </c>
      <c r="L22" s="6"/>
      <c r="M22" s="53">
        <f t="shared" si="0"/>
        <v>1074773.3600000001</v>
      </c>
    </row>
    <row r="23" spans="1:13" x14ac:dyDescent="0.25">
      <c r="C23">
        <v>3</v>
      </c>
      <c r="D23">
        <v>4</v>
      </c>
      <c r="E23">
        <v>5</v>
      </c>
      <c r="F23">
        <v>6</v>
      </c>
      <c r="G23">
        <v>7</v>
      </c>
      <c r="H23">
        <v>8</v>
      </c>
      <c r="I23">
        <v>9</v>
      </c>
      <c r="J23">
        <v>10</v>
      </c>
      <c r="K23">
        <v>11</v>
      </c>
      <c r="M23" s="8"/>
    </row>
    <row r="25" spans="1:13" x14ac:dyDescent="0.25">
      <c r="A25" s="23" t="s">
        <v>146</v>
      </c>
    </row>
  </sheetData>
  <autoFilter ref="A2:M20" xr:uid="{00000000-0009-0000-0000-000005000000}"/>
  <mergeCells count="1">
    <mergeCell ref="C1:K1"/>
  </mergeCells>
  <hyperlinks>
    <hyperlink ref="A25" location="Introdução!A1" display="Introdução!A1" xr:uid="{A5B2294C-CA61-4717-B1F9-203E6DD16D04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9AB34-1677-4CE8-825E-CF2E21B68E86}">
  <sheetPr codeName="Planilha2">
    <tabColor theme="3" tint="0.249977111117893"/>
  </sheetPr>
  <dimension ref="A1:W47"/>
  <sheetViews>
    <sheetView workbookViewId="0">
      <pane xSplit="6" topLeftCell="I1" activePane="topRight" state="frozen"/>
      <selection pane="topRight" activeCell="L11" sqref="L11"/>
    </sheetView>
  </sheetViews>
  <sheetFormatPr defaultRowHeight="15" x14ac:dyDescent="0.25"/>
  <cols>
    <col min="1" max="1" width="7.5703125" customWidth="1"/>
    <col min="2" max="2" width="29.85546875" customWidth="1"/>
    <col min="3" max="3" width="12" hidden="1" customWidth="1"/>
    <col min="4" max="4" width="12.42578125" hidden="1" customWidth="1"/>
    <col min="5" max="5" width="23.5703125" bestFit="1" customWidth="1"/>
    <col min="6" max="6" width="7.85546875" bestFit="1" customWidth="1"/>
    <col min="7" max="7" width="11.7109375" bestFit="1" customWidth="1"/>
    <col min="8" max="8" width="28.7109375" hidden="1" customWidth="1"/>
    <col min="9" max="10" width="19.7109375" bestFit="1" customWidth="1"/>
    <col min="11" max="11" width="18.28515625" bestFit="1" customWidth="1"/>
    <col min="12" max="12" width="19.7109375" bestFit="1" customWidth="1"/>
    <col min="13" max="13" width="18.28515625" bestFit="1" customWidth="1"/>
    <col min="14" max="14" width="20.5703125" bestFit="1" customWidth="1"/>
    <col min="15" max="15" width="19.7109375" bestFit="1" customWidth="1"/>
    <col min="16" max="17" width="13.42578125" bestFit="1" customWidth="1"/>
    <col min="18" max="18" width="19.42578125" bestFit="1" customWidth="1"/>
    <col min="19" max="19" width="13.42578125" bestFit="1" customWidth="1"/>
    <col min="20" max="20" width="15" bestFit="1" customWidth="1"/>
    <col min="21" max="21" width="18.85546875" bestFit="1" customWidth="1"/>
    <col min="22" max="22" width="10.5703125" bestFit="1" customWidth="1"/>
  </cols>
  <sheetData>
    <row r="1" spans="1:23" x14ac:dyDescent="0.25">
      <c r="A1" s="11" t="s">
        <v>0</v>
      </c>
      <c r="B1" s="11" t="s">
        <v>92</v>
      </c>
      <c r="C1" s="11" t="s">
        <v>93</v>
      </c>
      <c r="D1" s="11" t="s">
        <v>2</v>
      </c>
      <c r="E1" s="11" t="s">
        <v>3</v>
      </c>
      <c r="F1" s="11" t="s">
        <v>4</v>
      </c>
      <c r="G1" s="11" t="s">
        <v>133</v>
      </c>
      <c r="H1" s="13" t="s">
        <v>94</v>
      </c>
      <c r="I1" s="11" t="s">
        <v>297</v>
      </c>
      <c r="J1" s="11" t="s">
        <v>297</v>
      </c>
      <c r="K1" s="11" t="s">
        <v>122</v>
      </c>
      <c r="L1" s="11" t="s">
        <v>298</v>
      </c>
      <c r="M1" s="11" t="s">
        <v>123</v>
      </c>
      <c r="N1" s="11" t="s">
        <v>299</v>
      </c>
      <c r="O1" s="11" t="s">
        <v>124</v>
      </c>
      <c r="P1" s="11" t="s">
        <v>1266</v>
      </c>
      <c r="Q1" s="11" t="s">
        <v>355</v>
      </c>
      <c r="R1" s="11" t="s">
        <v>119</v>
      </c>
      <c r="S1" s="11" t="s">
        <v>134</v>
      </c>
      <c r="T1" s="11" t="s">
        <v>135</v>
      </c>
      <c r="U1" s="2" t="s">
        <v>295</v>
      </c>
      <c r="V1" s="11" t="s">
        <v>6</v>
      </c>
    </row>
    <row r="2" spans="1:23" s="3" customFormat="1" x14ac:dyDescent="0.25">
      <c r="A2" s="18" t="s">
        <v>0</v>
      </c>
      <c r="B2" s="18" t="s">
        <v>92</v>
      </c>
      <c r="C2" s="18" t="s">
        <v>93</v>
      </c>
      <c r="D2" s="18" t="s">
        <v>2</v>
      </c>
      <c r="E2" s="18" t="s">
        <v>3</v>
      </c>
      <c r="F2" s="18" t="s">
        <v>4</v>
      </c>
      <c r="G2" s="18" t="s">
        <v>133</v>
      </c>
      <c r="H2" s="19" t="s">
        <v>94</v>
      </c>
      <c r="I2" s="65" t="s">
        <v>351</v>
      </c>
      <c r="J2" s="65" t="s">
        <v>352</v>
      </c>
      <c r="K2" s="65" t="s">
        <v>353</v>
      </c>
      <c r="L2" s="18" t="s">
        <v>298</v>
      </c>
      <c r="M2" s="65" t="s">
        <v>353</v>
      </c>
      <c r="N2" s="18" t="s">
        <v>299</v>
      </c>
      <c r="O2" s="11" t="s">
        <v>121</v>
      </c>
      <c r="P2" s="18" t="s">
        <v>138</v>
      </c>
      <c r="Q2" s="18" t="s">
        <v>355</v>
      </c>
      <c r="R2" s="18" t="s">
        <v>119</v>
      </c>
      <c r="S2" s="18" t="s">
        <v>134</v>
      </c>
      <c r="T2" s="18" t="s">
        <v>135</v>
      </c>
      <c r="U2" s="26" t="s">
        <v>295</v>
      </c>
      <c r="V2" s="18" t="s">
        <v>6</v>
      </c>
    </row>
    <row r="3" spans="1:23" x14ac:dyDescent="0.25">
      <c r="A3" t="s">
        <v>50</v>
      </c>
      <c r="B3" t="s">
        <v>95</v>
      </c>
      <c r="C3">
        <v>120060</v>
      </c>
      <c r="D3" t="s">
        <v>52</v>
      </c>
      <c r="E3" t="s">
        <v>51</v>
      </c>
      <c r="F3" t="s">
        <v>35</v>
      </c>
      <c r="G3" t="s">
        <v>127</v>
      </c>
      <c r="H3" t="s">
        <v>28</v>
      </c>
      <c r="I3" s="1">
        <f>VLOOKUP($A3,'CAPEX - PAN'!$A$3:$AM$21,39,FALSE)</f>
        <v>79191574.890000015</v>
      </c>
      <c r="J3" s="1">
        <f>VLOOKUP(A3,'[9]CAPEX - BLOCOS PAN'!$A$3:$AM$52,39,FALSE)</f>
        <v>64217500</v>
      </c>
      <c r="K3" s="1">
        <f>VLOOKUP(A3,'OPEX - PAN'!$A$3:$AL$21,38,FALSE)/30</f>
        <v>2047124.7698996037</v>
      </c>
      <c r="L3" s="1">
        <f>VLOOKUP($A3,'OPEX - PAN'!$A$3:$AL$23,38,FALSE)</f>
        <v>61413743.096988112</v>
      </c>
      <c r="M3" s="1">
        <f>VLOOKUP(A3,'RECEITAS - PAN'!$A$3:$AL$21,38,FALSE)/30</f>
        <v>387412.00988773617</v>
      </c>
      <c r="N3" s="1">
        <f>VLOOKUP($A3,'RECEITAS - PAN'!$A$3:$AL$23,38,FALSE)</f>
        <v>11622360.296632085</v>
      </c>
      <c r="O3" s="27">
        <f t="shared" ref="O3:O21" si="0">N3-I3-L3</f>
        <v>-128982957.69035605</v>
      </c>
      <c r="P3" s="16">
        <f>VLOOKUP(A3,'Projeção - Demanda PAX'!$A$3:$E$22,5,FALSE)</f>
        <v>5677</v>
      </c>
      <c r="Q3" s="16">
        <f>VLOOKUP(A3,'Projeção - Demanda PAX'!$A$3:$AG$22,33,FALSE)</f>
        <v>15150</v>
      </c>
      <c r="R3">
        <v>1</v>
      </c>
      <c r="S3">
        <v>-8.15</v>
      </c>
      <c r="T3">
        <v>-70.766666666666666</v>
      </c>
      <c r="U3" s="3">
        <f>VLOOKUP(A3,'BASE PAN - CAPEX'!$A$3:$H$22,8,FALSE)</f>
        <v>1</v>
      </c>
      <c r="V3" s="3">
        <f>VLOOKUP(A3,'CAPEX - PAN'!$A$3:$AN$21,40,FALSE)</f>
        <v>1</v>
      </c>
    </row>
    <row r="4" spans="1:23" x14ac:dyDescent="0.25">
      <c r="A4" t="s">
        <v>43</v>
      </c>
      <c r="B4" t="s">
        <v>44</v>
      </c>
      <c r="C4">
        <v>130040</v>
      </c>
      <c r="D4" t="s">
        <v>45</v>
      </c>
      <c r="E4" t="s">
        <v>44</v>
      </c>
      <c r="F4" t="s">
        <v>30</v>
      </c>
      <c r="G4" t="s">
        <v>127</v>
      </c>
      <c r="H4" t="s">
        <v>28</v>
      </c>
      <c r="I4" s="1">
        <f>VLOOKUP($A4,'CAPEX - PAN'!$A$3:$AM$21,39,FALSE)</f>
        <v>57179957.800000004</v>
      </c>
      <c r="J4" s="1">
        <f>VLOOKUP(A4,'[9]CAPEX - BLOCOS PAN'!$A$3:$AM$52,39,FALSE)</f>
        <v>64413000</v>
      </c>
      <c r="K4" s="1">
        <f>VLOOKUP(A4,'OPEX - PAN'!$A$3:$AL$21,38,FALSE)/30</f>
        <v>1993663.6832404004</v>
      </c>
      <c r="L4" s="1">
        <f>VLOOKUP($A4,'OPEX - PAN'!$A$3:$AL$23,38,FALSE)</f>
        <v>59809910.497212015</v>
      </c>
      <c r="M4" s="1">
        <f>VLOOKUP(A4,'RECEITAS - PAN'!$A$3:$AL$21,38,FALSE)/30</f>
        <v>153073.39434534774</v>
      </c>
      <c r="N4" s="1">
        <f>VLOOKUP($A4,'RECEITAS - PAN'!$A$3:$AL$23,38,FALSE)</f>
        <v>4592201.8303604322</v>
      </c>
      <c r="O4" s="27">
        <f t="shared" si="0"/>
        <v>-112397666.46685159</v>
      </c>
      <c r="P4" s="16">
        <f>VLOOKUP(A4,'Projeção - Demanda PAX'!$A$3:$E$22,5,FALSE)</f>
        <v>1734</v>
      </c>
      <c r="Q4" s="16">
        <f>VLOOKUP(A4,'Projeção - Demanda PAX'!$A$3:$AG$22,33,FALSE)</f>
        <v>3817</v>
      </c>
      <c r="R4">
        <v>1</v>
      </c>
      <c r="S4">
        <v>-0.96666666666666667</v>
      </c>
      <c r="T4">
        <v>-62.916666666666664</v>
      </c>
      <c r="U4" s="3">
        <f>VLOOKUP(A4,'BASE PAN - CAPEX'!$A$3:$H$22,8,FALSE)</f>
        <v>1</v>
      </c>
      <c r="V4" s="3">
        <f>VLOOKUP(A4,'CAPEX - PAN'!$A$3:$AN$21,40,FALSE)</f>
        <v>0</v>
      </c>
    </row>
    <row r="5" spans="1:23" x14ac:dyDescent="0.25">
      <c r="A5" t="s">
        <v>47</v>
      </c>
      <c r="B5" t="s">
        <v>48</v>
      </c>
      <c r="C5">
        <v>130190</v>
      </c>
      <c r="D5" t="s">
        <v>49</v>
      </c>
      <c r="E5" t="s">
        <v>48</v>
      </c>
      <c r="F5" t="s">
        <v>30</v>
      </c>
      <c r="G5" t="s">
        <v>127</v>
      </c>
      <c r="H5" t="s">
        <v>28</v>
      </c>
      <c r="I5" s="1">
        <f>VLOOKUP($A5,'CAPEX - PAN'!$A$3:$AM$21,39,FALSE)</f>
        <v>132805247.9578563</v>
      </c>
      <c r="J5" s="1">
        <f>VLOOKUP(A5,'[9]CAPEX - BLOCOS PAN'!$A$3:$AM$52,39,FALSE)</f>
        <v>128775000</v>
      </c>
      <c r="K5" s="1">
        <f>VLOOKUP(A5,'OPEX - PAN'!$A$3:$AL$21,38,FALSE)/30</f>
        <v>4366797.0549624534</v>
      </c>
      <c r="L5" s="1">
        <f>VLOOKUP($A5,'OPEX - PAN'!$A$3:$AL$23,38,FALSE)</f>
        <v>131003911.6488736</v>
      </c>
      <c r="M5" s="1">
        <f>VLOOKUP(A5,'RECEITAS - PAN'!$A$3:$AL$21,38,FALSE)/30</f>
        <v>4146491.9090841948</v>
      </c>
      <c r="N5" s="1">
        <f>VLOOKUP($A5,'RECEITAS - PAN'!$A$3:$AL$23,38,FALSE)</f>
        <v>124394757.27252585</v>
      </c>
      <c r="O5" s="27">
        <f t="shared" si="0"/>
        <v>-139414402.33420405</v>
      </c>
      <c r="P5" s="16">
        <f>VLOOKUP(A5,'Projeção - Demanda PAX'!$A$3:$E$22,5,FALSE)</f>
        <v>60626</v>
      </c>
      <c r="Q5" s="16">
        <f>VLOOKUP(A5,'Projeção - Demanda PAX'!$A$3:$AG$22,33,FALSE)</f>
        <v>175274</v>
      </c>
      <c r="R5">
        <v>1</v>
      </c>
      <c r="S5">
        <v>-3.1166666666666667</v>
      </c>
      <c r="T5">
        <v>-58.466666666666669</v>
      </c>
      <c r="U5" s="3">
        <f>VLOOKUP(A5,'BASE PAN - CAPEX'!$A$3:$H$22,8,FALSE)</f>
        <v>3</v>
      </c>
      <c r="V5" s="3">
        <f>VLOOKUP(A5,'CAPEX - PAN'!$A$3:$AN$21,40,FALSE)</f>
        <v>3</v>
      </c>
    </row>
    <row r="6" spans="1:23" x14ac:dyDescent="0.25">
      <c r="A6" t="s">
        <v>85</v>
      </c>
      <c r="B6" t="s">
        <v>86</v>
      </c>
      <c r="C6">
        <v>130340</v>
      </c>
      <c r="D6" t="s">
        <v>87</v>
      </c>
      <c r="E6" t="s">
        <v>86</v>
      </c>
      <c r="F6" t="s">
        <v>30</v>
      </c>
      <c r="G6" t="s">
        <v>127</v>
      </c>
      <c r="H6" t="s">
        <v>28</v>
      </c>
      <c r="I6" s="1">
        <f>VLOOKUP($A6,'CAPEX - PAN'!$A$3:$AM$21,39,FALSE)</f>
        <v>100222152.23899919</v>
      </c>
      <c r="J6" s="1">
        <f>VLOOKUP(A6,'[9]CAPEX - BLOCOS PAN'!$A$3:$AM$52,39,FALSE)</f>
        <v>114622500</v>
      </c>
      <c r="K6" s="1">
        <f>VLOOKUP(A6,'OPEX - PAN'!$A$3:$AL$21,38,FALSE)/30</f>
        <v>4762072.3090633592</v>
      </c>
      <c r="L6" s="1">
        <f>VLOOKUP($A6,'OPEX - PAN'!$A$3:$AL$23,38,FALSE)</f>
        <v>142862169.27190077</v>
      </c>
      <c r="M6" s="1">
        <f>VLOOKUP(A6,'RECEITAS - PAN'!$A$3:$AL$21,38,FALSE)/30</f>
        <v>4379707.2919987636</v>
      </c>
      <c r="N6" s="1">
        <f>VLOOKUP($A6,'RECEITAS - PAN'!$A$3:$AL$23,38,FALSE)</f>
        <v>131391218.75996292</v>
      </c>
      <c r="O6" s="27">
        <f t="shared" si="0"/>
        <v>-111693102.75093704</v>
      </c>
      <c r="P6" s="16">
        <f>VLOOKUP(A6,'Projeção - Demanda PAX'!$A$3:$E$22,5,FALSE)</f>
        <v>68589</v>
      </c>
      <c r="Q6" s="16">
        <f>VLOOKUP(A6,'Projeção - Demanda PAX'!$A$3:$AG$22,33,FALSE)</f>
        <v>190383</v>
      </c>
      <c r="R6">
        <v>1</v>
      </c>
      <c r="S6">
        <v>-2.6666666666666665</v>
      </c>
      <c r="T6">
        <v>-56.766666666666666</v>
      </c>
      <c r="U6" s="3">
        <f>VLOOKUP(A6,'BASE PAN - CAPEX'!$A$3:$H$22,8,FALSE)</f>
        <v>3</v>
      </c>
      <c r="V6" s="3">
        <f>VLOOKUP(A6,'CAPEX - PAN'!$A$3:$AN$21,40,FALSE)</f>
        <v>3</v>
      </c>
    </row>
    <row r="7" spans="1:23" x14ac:dyDescent="0.25">
      <c r="A7" t="s">
        <v>36</v>
      </c>
      <c r="B7" t="s">
        <v>37</v>
      </c>
      <c r="C7">
        <v>150360</v>
      </c>
      <c r="D7" t="s">
        <v>38</v>
      </c>
      <c r="E7" t="s">
        <v>37</v>
      </c>
      <c r="F7" t="s">
        <v>24</v>
      </c>
      <c r="G7" t="s">
        <v>127</v>
      </c>
      <c r="H7" t="s">
        <v>28</v>
      </c>
      <c r="I7" s="1">
        <f>VLOOKUP($A7,'CAPEX - PAN'!$A$3:$AM$21,39,FALSE)</f>
        <v>105924728.70791654</v>
      </c>
      <c r="J7" s="1">
        <f>VLOOKUP(A7,'[9]CAPEX - BLOCOS PAN'!$A$3:$AM$52,39,FALSE)</f>
        <v>135320000</v>
      </c>
      <c r="K7" s="1">
        <f>VLOOKUP(A7,'OPEX - PAN'!$A$3:$AL$21,38,FALSE)/30</f>
        <v>4974453.0190289682</v>
      </c>
      <c r="L7" s="1">
        <f>VLOOKUP($A7,'OPEX - PAN'!$A$3:$AL$23,38,FALSE)</f>
        <v>149233590.57086906</v>
      </c>
      <c r="M7" s="1">
        <f>VLOOKUP(A7,'RECEITAS - PAN'!$A$3:$AL$21,38,FALSE)/30</f>
        <v>1466235.8577086092</v>
      </c>
      <c r="N7" s="1">
        <f>VLOOKUP($A7,'RECEITAS - PAN'!$A$3:$AL$23,38,FALSE)</f>
        <v>43987075.731258273</v>
      </c>
      <c r="O7" s="27">
        <f t="shared" si="0"/>
        <v>-211171243.54752731</v>
      </c>
      <c r="P7" s="16">
        <f>VLOOKUP(A7,'Projeção - Demanda PAX'!$A$3:$E$22,5,FALSE)</f>
        <v>27199</v>
      </c>
      <c r="Q7" s="16">
        <f>VLOOKUP(A7,'Projeção - Demanda PAX'!$A$3:$AG$22,33,FALSE)</f>
        <v>55806</v>
      </c>
      <c r="R7">
        <v>1</v>
      </c>
      <c r="S7">
        <v>-4.2333333333333334</v>
      </c>
      <c r="T7">
        <v>-56</v>
      </c>
      <c r="U7" s="3">
        <f>VLOOKUP(A7,'BASE PAN - CAPEX'!$A$3:$H$22,8,FALSE)</f>
        <v>3</v>
      </c>
      <c r="V7" s="3">
        <f>VLOOKUP(A7,'CAPEX - PAN'!$A$3:$AN$21,40,FALSE)</f>
        <v>1</v>
      </c>
    </row>
    <row r="8" spans="1:23" x14ac:dyDescent="0.25">
      <c r="A8" t="s">
        <v>56</v>
      </c>
      <c r="B8" t="s">
        <v>96</v>
      </c>
      <c r="C8">
        <v>110030</v>
      </c>
      <c r="D8" t="s">
        <v>58</v>
      </c>
      <c r="E8" t="s">
        <v>57</v>
      </c>
      <c r="F8" t="s">
        <v>25</v>
      </c>
      <c r="G8" t="s">
        <v>127</v>
      </c>
      <c r="H8" t="s">
        <v>28</v>
      </c>
      <c r="I8" s="1">
        <f>VLOOKUP($A8,'CAPEX - PAN'!$A$3:$AM$21,39,FALSE)</f>
        <v>74692006.198465094</v>
      </c>
      <c r="J8" s="1">
        <f>VLOOKUP(A8,'[9]CAPEX - BLOCOS PAN'!$A$3:$AM$52,39,FALSE)</f>
        <v>163208500</v>
      </c>
      <c r="K8" s="1">
        <f>VLOOKUP(A8,'OPEX - PAN'!$A$3:$AL$21,38,FALSE)/30</f>
        <v>4366563.4861410437</v>
      </c>
      <c r="L8" s="1">
        <f>VLOOKUP($A8,'OPEX - PAN'!$A$3:$AL$23,38,FALSE)</f>
        <v>130996904.5842313</v>
      </c>
      <c r="M8" s="1">
        <f>VLOOKUP(A8,'RECEITAS - PAN'!$A$3:$AL$21,38,FALSE)/30</f>
        <v>1112456.2022629289</v>
      </c>
      <c r="N8" s="1">
        <f>VLOOKUP($A8,'RECEITAS - PAN'!$A$3:$AL$23,38,FALSE)</f>
        <v>33373686.067887865</v>
      </c>
      <c r="O8" s="27">
        <f t="shared" si="0"/>
        <v>-172315224.71480852</v>
      </c>
      <c r="P8" s="16">
        <f>VLOOKUP(A8,'Projeção - Demanda PAX'!$A$3:$E$22,5,FALSE)</f>
        <v>19650</v>
      </c>
      <c r="Q8" s="16">
        <f>VLOOKUP(A8,'Projeção - Demanda PAX'!$A$3:$AG$22,33,FALSE)</f>
        <v>47648</v>
      </c>
      <c r="R8">
        <v>1</v>
      </c>
      <c r="S8">
        <v>-12.683333333333334</v>
      </c>
      <c r="T8">
        <v>-60.083333333333336</v>
      </c>
      <c r="U8" s="3">
        <f>VLOOKUP(A8,'BASE PAN - CAPEX'!$A$3:$H$22,8,FALSE)</f>
        <v>3</v>
      </c>
      <c r="V8" s="3">
        <f>VLOOKUP(A8,'CAPEX - PAN'!$A$3:$AN$21,40,FALSE)</f>
        <v>2</v>
      </c>
    </row>
    <row r="9" spans="1:23" x14ac:dyDescent="0.25">
      <c r="A9" t="s">
        <v>71</v>
      </c>
      <c r="B9" t="s">
        <v>99</v>
      </c>
      <c r="C9">
        <v>110004</v>
      </c>
      <c r="D9" t="s">
        <v>73</v>
      </c>
      <c r="E9" t="s">
        <v>72</v>
      </c>
      <c r="F9" t="s">
        <v>25</v>
      </c>
      <c r="G9" t="s">
        <v>127</v>
      </c>
      <c r="H9" t="s">
        <v>28</v>
      </c>
      <c r="I9" s="1">
        <f>VLOOKUP($A9,'CAPEX - PAN'!$A$3:$AM$21,39,FALSE)</f>
        <v>49864928.275977269</v>
      </c>
      <c r="J9" s="1">
        <f>VLOOKUP(A9,'[9]CAPEX - BLOCOS PAN'!$A$3:$AM$52,39,FALSE)</f>
        <v>119637500</v>
      </c>
      <c r="K9" s="1">
        <f>VLOOKUP(A9,'OPEX - PAN'!$A$3:$AL$21,38,FALSE)/30</f>
        <v>4947743.1691065961</v>
      </c>
      <c r="L9" s="1">
        <f>VLOOKUP($A9,'OPEX - PAN'!$A$3:$AL$23,38,FALSE)</f>
        <v>148432295.07319787</v>
      </c>
      <c r="M9" s="1">
        <f>VLOOKUP(A9,'RECEITAS - PAN'!$A$3:$AL$21,38,FALSE)/30</f>
        <v>2555150.8983075586</v>
      </c>
      <c r="N9" s="1">
        <f>VLOOKUP($A9,'RECEITAS - PAN'!$A$3:$AL$23,38,FALSE)</f>
        <v>76654526.949226752</v>
      </c>
      <c r="O9" s="27">
        <f t="shared" si="0"/>
        <v>-121642696.39994839</v>
      </c>
      <c r="P9" s="16">
        <f>VLOOKUP(A9,'Projeção - Demanda PAX'!$A$3:$E$22,5,FALSE)</f>
        <v>44200</v>
      </c>
      <c r="Q9" s="16">
        <f>VLOOKUP(A9,'Projeção - Demanda PAX'!$A$3:$AG$22,33,FALSE)</f>
        <v>103509</v>
      </c>
      <c r="R9">
        <v>1</v>
      </c>
      <c r="S9">
        <v>-11.483333333333333</v>
      </c>
      <c r="T9">
        <v>-61.45</v>
      </c>
      <c r="U9" s="3">
        <f>VLOOKUP(A9,'BASE PAN - CAPEX'!$A$3:$H$22,8,FALSE)</f>
        <v>3</v>
      </c>
      <c r="V9" s="3">
        <f>VLOOKUP(A9,'CAPEX - PAN'!$A$3:$AN$21,40,FALSE)</f>
        <v>2</v>
      </c>
    </row>
    <row r="10" spans="1:23" x14ac:dyDescent="0.25">
      <c r="A10" t="s">
        <v>39</v>
      </c>
      <c r="B10" t="s">
        <v>40</v>
      </c>
      <c r="C10">
        <v>291930</v>
      </c>
      <c r="D10" t="s">
        <v>41</v>
      </c>
      <c r="E10" t="s">
        <v>42</v>
      </c>
      <c r="F10" t="s">
        <v>34</v>
      </c>
      <c r="G10" t="s">
        <v>126</v>
      </c>
      <c r="H10" t="s">
        <v>28</v>
      </c>
      <c r="I10" s="1">
        <f>VLOOKUP($A10,'CAPEX - PAN'!$A$3:$AM$21,39,FALSE)</f>
        <v>80284260.415298462</v>
      </c>
      <c r="J10" s="1">
        <f>VLOOKUP(A10,'[9]CAPEX - BLOCOS PAN'!$A$3:$AM$52,39,FALSE)</f>
        <v>84277500</v>
      </c>
      <c r="K10" s="1">
        <f>VLOOKUP(A10,'OPEX - PAN'!$A$3:$AL$21,38,FALSE)/30</f>
        <v>3356955.0643240171</v>
      </c>
      <c r="L10" s="1">
        <f>VLOOKUP($A10,'OPEX - PAN'!$A$3:$AL$23,38,FALSE)</f>
        <v>100708651.92972052</v>
      </c>
      <c r="M10" s="1">
        <f>VLOOKUP(A10,'RECEITAS - PAN'!$A$3:$AL$21,38,FALSE)/30</f>
        <v>1636330.5584565534</v>
      </c>
      <c r="N10" s="1">
        <f>VLOOKUP($A10,'RECEITAS - PAN'!$A$3:$AL$23,38,FALSE)</f>
        <v>49089916.753696598</v>
      </c>
      <c r="O10" s="27">
        <f t="shared" si="0"/>
        <v>-131902995.59132239</v>
      </c>
      <c r="P10" s="16">
        <f>VLOOKUP(A10,'Projeção - Demanda PAX'!$A$3:$E$22,5,FALSE)</f>
        <v>28932</v>
      </c>
      <c r="Q10" s="16">
        <f>VLOOKUP(A10,'Projeção - Demanda PAX'!$A$3:$AG$22,33,FALSE)</f>
        <v>66972</v>
      </c>
      <c r="R10">
        <v>0</v>
      </c>
      <c r="S10">
        <v>-12.466666666666667</v>
      </c>
      <c r="T10">
        <v>-41.266666666666666</v>
      </c>
      <c r="U10" s="3">
        <f>VLOOKUP(A10,'BASE PAN - CAPEX'!$A$3:$H$22,8,FALSE)</f>
        <v>3</v>
      </c>
      <c r="V10" s="3">
        <f>VLOOKUP(A10,'CAPEX - PAN'!$A$3:$AN$21,40,FALSE)</f>
        <v>1</v>
      </c>
    </row>
    <row r="11" spans="1:23" s="17" customFormat="1" x14ac:dyDescent="0.25">
      <c r="A11" t="s">
        <v>53</v>
      </c>
      <c r="B11" t="s">
        <v>54</v>
      </c>
      <c r="C11">
        <v>292400</v>
      </c>
      <c r="D11" t="s">
        <v>55</v>
      </c>
      <c r="E11" t="s">
        <v>54</v>
      </c>
      <c r="F11" t="s">
        <v>34</v>
      </c>
      <c r="G11" t="s">
        <v>126</v>
      </c>
      <c r="H11" t="s">
        <v>28</v>
      </c>
      <c r="I11" s="1">
        <f>VLOOKUP($A11,'CAPEX - PAN'!$A$3:$AM$21,39,FALSE)</f>
        <v>106288639.22532223</v>
      </c>
      <c r="J11" s="1">
        <f>VLOOKUP(A11,'[9]CAPEX - BLOCOS PAN'!$A$3:$AM$52,39,FALSE)</f>
        <v>67590000</v>
      </c>
      <c r="K11" s="1">
        <f>VLOOKUP(A11,'OPEX - PAN'!$A$3:$AL$21,38,FALSE)/30</f>
        <v>2645498.3036895883</v>
      </c>
      <c r="L11" s="1">
        <f>VLOOKUP($A11,'OPEX - PAN'!$A$3:$AL$23,38,FALSE)</f>
        <v>79364949.110687643</v>
      </c>
      <c r="M11" s="1">
        <f>VLOOKUP(A11,'RECEITAS - PAN'!$A$3:$AL$21,38,FALSE)/30</f>
        <v>524069.2013216553</v>
      </c>
      <c r="N11" s="1">
        <f>VLOOKUP($A11,'RECEITAS - PAN'!$A$3:$AL$23,38,FALSE)</f>
        <v>15722076.03964966</v>
      </c>
      <c r="O11" s="27">
        <f t="shared" si="0"/>
        <v>-169931512.29636019</v>
      </c>
      <c r="P11" s="16">
        <f>VLOOKUP(A11,'Projeção - Demanda PAX'!$A$3:$E$22,5,FALSE)</f>
        <v>7887</v>
      </c>
      <c r="Q11" s="16">
        <f>VLOOKUP(A11,'Projeção - Demanda PAX'!$A$3:$AG$22,33,FALSE)</f>
        <v>22552</v>
      </c>
      <c r="R11">
        <v>0</v>
      </c>
      <c r="S11">
        <v>-9.4</v>
      </c>
      <c r="T11">
        <v>-38.25</v>
      </c>
      <c r="U11" s="3">
        <f>VLOOKUP(A11,'BASE PAN - CAPEX'!$A$3:$H$22,8,FALSE)</f>
        <v>3</v>
      </c>
      <c r="V11" s="3">
        <f>VLOOKUP(A11,'CAPEX - PAN'!$A$3:$AN$21,40,FALSE)</f>
        <v>1</v>
      </c>
      <c r="W11"/>
    </row>
    <row r="12" spans="1:23" x14ac:dyDescent="0.25">
      <c r="A12" t="s">
        <v>63</v>
      </c>
      <c r="B12" t="s">
        <v>66</v>
      </c>
      <c r="C12">
        <v>291170</v>
      </c>
      <c r="D12" t="s">
        <v>65</v>
      </c>
      <c r="E12" t="s">
        <v>66</v>
      </c>
      <c r="F12" t="s">
        <v>34</v>
      </c>
      <c r="G12" t="s">
        <v>126</v>
      </c>
      <c r="H12" t="s">
        <v>28</v>
      </c>
      <c r="I12" s="1">
        <f>VLOOKUP($A12,'CAPEX - PAN'!$A$3:$AM$21,39,FALSE)</f>
        <v>84019458.154074714</v>
      </c>
      <c r="J12" s="1">
        <f>VLOOKUP(A12,'[9]CAPEX - BLOCOS PAN'!$A$3:$AM$52,39,FALSE)</f>
        <v>104887500</v>
      </c>
      <c r="K12" s="1">
        <f>VLOOKUP(A12,'OPEX - PAN'!$A$3:$AL$21,38,FALSE)/30</f>
        <v>1711654.4173996972</v>
      </c>
      <c r="L12" s="1">
        <f>VLOOKUP($A12,'OPEX - PAN'!$A$3:$AL$23,38,FALSE)</f>
        <v>51349632.521990918</v>
      </c>
      <c r="M12" s="1">
        <f>VLOOKUP(A12,'RECEITAS - PAN'!$A$3:$AL$21,38,FALSE)/30</f>
        <v>1332677.4824136777</v>
      </c>
      <c r="N12" s="1">
        <f>VLOOKUP($A12,'RECEITAS - PAN'!$A$3:$AL$23,38,FALSE)</f>
        <v>39980324.472410329</v>
      </c>
      <c r="O12" s="27">
        <f t="shared" si="0"/>
        <v>-95388766.203655303</v>
      </c>
      <c r="P12" s="16">
        <f>VLOOKUP(A12,'Projeção - Demanda PAX'!$A$3:$E$22,5,FALSE)</f>
        <v>31016</v>
      </c>
      <c r="Q12" s="16">
        <f>VLOOKUP(A12,'Projeção - Demanda PAX'!$A$3:$AG$22,33,FALSE)</f>
        <v>57124.5</v>
      </c>
      <c r="R12">
        <v>0</v>
      </c>
      <c r="S12">
        <v>-14.2</v>
      </c>
      <c r="T12">
        <v>-42.733333333333334</v>
      </c>
      <c r="U12" s="3">
        <f>VLOOKUP(A12,'BASE PAN - CAPEX'!$A$3:$H$22,8,FALSE)</f>
        <v>3</v>
      </c>
      <c r="V12" s="3">
        <f>VLOOKUP(A12,'CAPEX - PAN'!$A$3:$AN$21,40,FALSE)</f>
        <v>2</v>
      </c>
    </row>
    <row r="13" spans="1:23" x14ac:dyDescent="0.25">
      <c r="A13" t="s">
        <v>67</v>
      </c>
      <c r="B13" t="s">
        <v>98</v>
      </c>
      <c r="C13">
        <v>261390</v>
      </c>
      <c r="D13" t="s">
        <v>69</v>
      </c>
      <c r="E13" t="s">
        <v>70</v>
      </c>
      <c r="F13" t="s">
        <v>31</v>
      </c>
      <c r="G13" t="s">
        <v>126</v>
      </c>
      <c r="H13" t="s">
        <v>28</v>
      </c>
      <c r="I13" s="1">
        <f>VLOOKUP($A13,'CAPEX - PAN'!$A$3:$AM$21,39,FALSE)</f>
        <v>40544525.830000006</v>
      </c>
      <c r="J13" s="1">
        <f>VLOOKUP(A13,'[9]CAPEX - BLOCOS PAN'!$A$3:$AM$52,39,FALSE)</f>
        <v>41415000</v>
      </c>
      <c r="K13" s="1">
        <f>VLOOKUP(A13,'OPEX - PAN'!$A$3:$AL$21,38,FALSE)/30</f>
        <v>1124725.8025701817</v>
      </c>
      <c r="L13" s="1">
        <f>VLOOKUP($A13,'OPEX - PAN'!$A$3:$AL$23,38,FALSE)</f>
        <v>33741774.077105448</v>
      </c>
      <c r="M13" s="1">
        <f>VLOOKUP(A13,'RECEITAS - PAN'!$A$3:$AL$21,38,FALSE)/30</f>
        <v>281601.87909310276</v>
      </c>
      <c r="N13" s="1">
        <f>VLOOKUP($A13,'RECEITAS - PAN'!$A$3:$AL$23,38,FALSE)</f>
        <v>8448056.3727930821</v>
      </c>
      <c r="O13" s="27">
        <f t="shared" si="0"/>
        <v>-65838243.534312367</v>
      </c>
      <c r="P13" s="16">
        <f>VLOOKUP(A13,'Projeção - Demanda PAX'!$A$3:$E$22,5,FALSE)</f>
        <v>4548</v>
      </c>
      <c r="Q13" s="16">
        <f>VLOOKUP(A13,'Projeção - Demanda PAX'!$A$3:$AG$22,33,FALSE)</f>
        <v>10332</v>
      </c>
      <c r="R13">
        <v>0</v>
      </c>
      <c r="S13">
        <v>-8.0500000000000007</v>
      </c>
      <c r="T13">
        <v>-38.31666666666667</v>
      </c>
      <c r="U13" s="3">
        <f>VLOOKUP(A13,'BASE PAN - CAPEX'!$A$3:$H$22,8,FALSE)</f>
        <v>1</v>
      </c>
      <c r="V13" s="3">
        <f>VLOOKUP(A13,'CAPEX - PAN'!$A$3:$AN$21,40,FALSE)</f>
        <v>1</v>
      </c>
    </row>
    <row r="14" spans="1:23" s="17" customFormat="1" x14ac:dyDescent="0.25">
      <c r="A14" t="s">
        <v>80</v>
      </c>
      <c r="B14" t="s">
        <v>101</v>
      </c>
      <c r="C14">
        <v>221060</v>
      </c>
      <c r="D14" t="s">
        <v>82</v>
      </c>
      <c r="E14" t="s">
        <v>83</v>
      </c>
      <c r="F14" t="s">
        <v>33</v>
      </c>
      <c r="G14" t="s">
        <v>126</v>
      </c>
      <c r="H14" t="s">
        <v>28</v>
      </c>
      <c r="I14" s="1">
        <f>VLOOKUP($A14,'CAPEX - PAN'!$A$3:$AM$21,39,FALSE)</f>
        <v>55535055.030000009</v>
      </c>
      <c r="J14" s="1">
        <f>VLOOKUP(A14,'[9]CAPEX - BLOCOS PAN'!$A$3:$AM$52,39,FALSE)</f>
        <v>14527500</v>
      </c>
      <c r="K14" s="1">
        <f>VLOOKUP(A14,'OPEX - PAN'!$A$3:$AL$21,38,FALSE)/30</f>
        <v>2489601.8045593356</v>
      </c>
      <c r="L14" s="1">
        <f>VLOOKUP($A14,'OPEX - PAN'!$A$3:$AL$23,38,FALSE)</f>
        <v>74688054.136780068</v>
      </c>
      <c r="M14" s="1">
        <f>VLOOKUP(A14,'RECEITAS - PAN'!$A$3:$AL$21,38,FALSE)/30</f>
        <v>1217326.1691361489</v>
      </c>
      <c r="N14" s="1">
        <f>VLOOKUP($A14,'RECEITAS - PAN'!$A$3:$AL$23,38,FALSE)</f>
        <v>36519785.074084468</v>
      </c>
      <c r="O14" s="27">
        <f t="shared" si="0"/>
        <v>-93703324.092695609</v>
      </c>
      <c r="P14" s="16">
        <f>VLOOKUP(A14,'Projeção - Demanda PAX'!$A$3:$E$22,5,FALSE)</f>
        <v>22845</v>
      </c>
      <c r="Q14" s="16">
        <f>VLOOKUP(A14,'Projeção - Demanda PAX'!$A$3:$AG$22,33,FALSE)</f>
        <v>49712</v>
      </c>
      <c r="R14">
        <v>0</v>
      </c>
      <c r="S14">
        <v>-9.0666666666666664</v>
      </c>
      <c r="T14">
        <v>-42.633333333333333</v>
      </c>
      <c r="U14" s="3">
        <f>VLOOKUP(A14,'BASE PAN - CAPEX'!$A$3:$H$22,8,FALSE)</f>
        <v>2</v>
      </c>
      <c r="V14" s="3">
        <f>VLOOKUP(A14,'CAPEX - PAN'!$A$3:$AN$21,40,FALSE)</f>
        <v>1</v>
      </c>
      <c r="W14"/>
    </row>
    <row r="15" spans="1:23" x14ac:dyDescent="0.25">
      <c r="A15" t="s">
        <v>130</v>
      </c>
      <c r="B15" t="s">
        <v>131</v>
      </c>
      <c r="C15">
        <v>210170</v>
      </c>
      <c r="D15" t="s">
        <v>136</v>
      </c>
      <c r="E15" t="s">
        <v>131</v>
      </c>
      <c r="F15" t="s">
        <v>26</v>
      </c>
      <c r="G15" t="s">
        <v>126</v>
      </c>
      <c r="H15" t="s">
        <v>28</v>
      </c>
      <c r="I15" s="1">
        <f>VLOOKUP($A15,'CAPEX - PAN'!$A$3:$AM$21,39,FALSE)</f>
        <v>58081778.822296739</v>
      </c>
      <c r="J15" s="1">
        <f>VLOOKUP(A15,'[9]CAPEX - BLOCOS PAN'!$A$3:$AM$52,39,FALSE)</f>
        <v>80835000</v>
      </c>
      <c r="K15" s="1">
        <f>VLOOKUP(A15,'OPEX - PAN'!$A$3:$AL$21,38,FALSE)/30</f>
        <v>4036613.3079070677</v>
      </c>
      <c r="L15" s="1">
        <f>VLOOKUP($A15,'OPEX - PAN'!$A$3:$AL$23,38,FALSE)</f>
        <v>121098399.23721203</v>
      </c>
      <c r="M15" s="1">
        <f>VLOOKUP(A15,'RECEITAS - PAN'!$A$3:$AL$21,38,FALSE)/30</f>
        <v>4673002.2457489176</v>
      </c>
      <c r="N15" s="1">
        <f>VLOOKUP($A15,'RECEITAS - PAN'!$A$3:$AL$23,38,FALSE)</f>
        <v>140190067.37246752</v>
      </c>
      <c r="O15" s="27">
        <f t="shared" si="0"/>
        <v>-38990110.687041253</v>
      </c>
      <c r="P15" s="16">
        <f>VLOOKUP(A15,'Projeção - Demanda PAX'!$A$3:$E$22,5,FALSE)</f>
        <v>82210</v>
      </c>
      <c r="Q15" s="16">
        <f>VLOOKUP(A15,'Projeção - Demanda PAX'!$A$3:$AG$22,33,FALSE)</f>
        <v>193208</v>
      </c>
      <c r="R15">
        <v>0</v>
      </c>
      <c r="S15">
        <v>-2.75</v>
      </c>
      <c r="T15">
        <v>-42.8</v>
      </c>
      <c r="U15" s="3">
        <f>VLOOKUP(A15,'BASE PAN - CAPEX'!$A$3:$H$22,8,FALSE)</f>
        <v>3</v>
      </c>
      <c r="V15" s="3">
        <f>VLOOKUP(A15,'CAPEX - PAN'!$A$3:$AN$21,40,FALSE)</f>
        <v>3</v>
      </c>
    </row>
    <row r="16" spans="1:23" x14ac:dyDescent="0.25">
      <c r="A16" s="17" t="s">
        <v>154</v>
      </c>
      <c r="B16" s="30" t="s">
        <v>155</v>
      </c>
      <c r="C16" s="17">
        <v>260110</v>
      </c>
      <c r="D16" s="17" t="s">
        <v>156</v>
      </c>
      <c r="E16" s="17" t="s">
        <v>155</v>
      </c>
      <c r="F16" s="17" t="s">
        <v>31</v>
      </c>
      <c r="G16" s="17" t="s">
        <v>126</v>
      </c>
      <c r="H16" s="17" t="s">
        <v>28</v>
      </c>
      <c r="I16" s="1">
        <f>VLOOKUP($A16,'CAPEX - PAN'!$A$3:$AM$21,39,FALSE)</f>
        <v>19661562.939999998</v>
      </c>
      <c r="J16" s="1">
        <f>VLOOKUP(A16,'[9]CAPEX - BLOCOS PAN'!$A$3:$AM$52,39,FALSE)</f>
        <v>25432468.94080925</v>
      </c>
      <c r="K16" s="1">
        <f>VLOOKUP(A16,'OPEX - PAN'!$A$3:$AL$21,38,FALSE)/30</f>
        <v>1332176.9380889458</v>
      </c>
      <c r="L16" s="1">
        <f>VLOOKUP($A16,'OPEX - PAN'!$A$3:$AL$23,38,FALSE)</f>
        <v>39965308.142668374</v>
      </c>
      <c r="M16" s="1">
        <f>VLOOKUP(A16,'RECEITAS - PAN'!$A$3:$AL$21,38,FALSE)/30</f>
        <v>77987.715332558582</v>
      </c>
      <c r="N16" s="1">
        <f>VLOOKUP($A16,'RECEITAS - PAN'!$A$3:$AL$23,38,FALSE)</f>
        <v>2339631.4599767574</v>
      </c>
      <c r="O16" s="27">
        <f t="shared" si="0"/>
        <v>-57287239.622691616</v>
      </c>
      <c r="P16" s="16">
        <f>VLOOKUP(A16,'Projeção - Demanda PAX'!$A$3:$E$22,5,FALSE)</f>
        <v>500</v>
      </c>
      <c r="Q16" s="16">
        <f>VLOOKUP(A16,'Projeção - Demanda PAX'!$A$3:$AG$22,33,FALSE)</f>
        <v>707</v>
      </c>
      <c r="R16" s="17">
        <v>0</v>
      </c>
      <c r="S16" s="17">
        <v>-7.583333333333333</v>
      </c>
      <c r="T16" s="17">
        <v>-40.533333333333331</v>
      </c>
      <c r="U16" s="3">
        <f>VLOOKUP(A16,'BASE PAN - CAPEX'!$A$3:$H$22,8,FALSE)</f>
        <v>0</v>
      </c>
      <c r="V16" s="3">
        <f>VLOOKUP(A16,'CAPEX - PAN'!$A$3:$AN$21,40,FALSE)</f>
        <v>0</v>
      </c>
    </row>
    <row r="17" spans="1:23" x14ac:dyDescent="0.25">
      <c r="A17" s="17" t="s">
        <v>157</v>
      </c>
      <c r="B17" s="30" t="s">
        <v>158</v>
      </c>
      <c r="C17" s="17">
        <v>260600</v>
      </c>
      <c r="D17" s="17" t="s">
        <v>159</v>
      </c>
      <c r="E17" s="17" t="s">
        <v>158</v>
      </c>
      <c r="F17" s="17" t="s">
        <v>31</v>
      </c>
      <c r="G17" s="17" t="s">
        <v>126</v>
      </c>
      <c r="H17" s="17" t="s">
        <v>28</v>
      </c>
      <c r="I17" s="1">
        <f>VLOOKUP($A17,'CAPEX - PAN'!$A$3:$AM$21,39,FALSE)</f>
        <v>22075782.469999999</v>
      </c>
      <c r="J17" s="1">
        <f>VLOOKUP(A17,'[9]CAPEX - BLOCOS PAN'!$A$3:$AM$52,39,FALSE)</f>
        <v>26672643.107947975</v>
      </c>
      <c r="K17" s="1">
        <f>VLOOKUP(A17,'OPEX - PAN'!$A$3:$AL$21,38,FALSE)/30</f>
        <v>1332129.4778803289</v>
      </c>
      <c r="L17" s="1">
        <f>VLOOKUP($A17,'OPEX - PAN'!$A$3:$AL$23,38,FALSE)</f>
        <v>39963884.336409867</v>
      </c>
      <c r="M17" s="1">
        <f>VLOOKUP(A17,'RECEITAS - PAN'!$A$3:$AL$21,38,FALSE)/30</f>
        <v>77461.79600905141</v>
      </c>
      <c r="N17" s="1">
        <f>VLOOKUP($A17,'RECEITAS - PAN'!$A$3:$AL$23,38,FALSE)</f>
        <v>2323853.8802715424</v>
      </c>
      <c r="O17" s="27">
        <f t="shared" si="0"/>
        <v>-59715812.926138327</v>
      </c>
      <c r="P17" s="16">
        <f>VLOOKUP(A17,'Projeção - Demanda PAX'!$A$3:$E$22,5,FALSE)</f>
        <v>500</v>
      </c>
      <c r="Q17" s="16">
        <f>VLOOKUP(A17,'Projeção - Demanda PAX'!$A$3:$AG$22,33,FALSE)</f>
        <v>669</v>
      </c>
      <c r="R17" s="17">
        <v>0</v>
      </c>
      <c r="S17" s="17">
        <v>-8.8333333333333339</v>
      </c>
      <c r="T17" s="17">
        <v>-36.466666666666669</v>
      </c>
      <c r="U17" s="3">
        <f>VLOOKUP(A17,'BASE PAN - CAPEX'!$A$3:$H$22,8,FALSE)</f>
        <v>0</v>
      </c>
      <c r="V17" s="3">
        <f>VLOOKUP(A17,'CAPEX - PAN'!$A$3:$AN$21,40,FALSE)</f>
        <v>0</v>
      </c>
    </row>
    <row r="18" spans="1:23" x14ac:dyDescent="0.25">
      <c r="A18" t="s">
        <v>76</v>
      </c>
      <c r="B18" t="s">
        <v>100</v>
      </c>
      <c r="C18">
        <v>170210</v>
      </c>
      <c r="D18" t="s">
        <v>78</v>
      </c>
      <c r="E18" t="s">
        <v>77</v>
      </c>
      <c r="F18" t="s">
        <v>27</v>
      </c>
      <c r="G18" t="s">
        <v>127</v>
      </c>
      <c r="H18" t="s">
        <v>28</v>
      </c>
      <c r="I18" s="1">
        <f>VLOOKUP($A18,'CAPEX - PAN'!$A$3:$AM$21,39,FALSE)</f>
        <v>55530882.675717525</v>
      </c>
      <c r="J18" s="1">
        <f>VLOOKUP(A18,'[9]CAPEX - BLOCOS PAN'!$A$3:$AM$52,39,FALSE)</f>
        <v>97162500</v>
      </c>
      <c r="K18" s="1">
        <f>VLOOKUP(A18,'OPEX - PAN'!$A$3:$AL$21,38,FALSE)/30</f>
        <v>4998155.0698133968</v>
      </c>
      <c r="L18" s="1">
        <f>VLOOKUP($A18,'OPEX - PAN'!$A$3:$AL$23,38,FALSE)</f>
        <v>149944652.0944019</v>
      </c>
      <c r="M18" s="1">
        <f>VLOOKUP(A18,'RECEITAS - PAN'!$A$3:$AL$21,38,FALSE)/30</f>
        <v>1639920.025869248</v>
      </c>
      <c r="N18" s="1">
        <f>VLOOKUP($A18,'RECEITAS - PAN'!$A$3:$AL$23,38,FALSE)</f>
        <v>49197600.776077442</v>
      </c>
      <c r="O18" s="27">
        <f t="shared" si="0"/>
        <v>-156277933.99404198</v>
      </c>
      <c r="P18" s="16">
        <f>VLOOKUP(A18,'Projeção - Demanda PAX'!$A$3:$E$22,5,FALSE)</f>
        <v>30520</v>
      </c>
      <c r="Q18" s="16">
        <f>VLOOKUP(A18,'Projeção - Demanda PAX'!$A$3:$AG$22,33,FALSE)</f>
        <v>63309</v>
      </c>
      <c r="R18">
        <v>1</v>
      </c>
      <c r="S18">
        <v>-7.2166666666666668</v>
      </c>
      <c r="T18">
        <v>-48.233333333333334</v>
      </c>
      <c r="U18" s="3">
        <f>VLOOKUP(A18,'BASE PAN - CAPEX'!$A$3:$H$22,8,FALSE)</f>
        <v>3</v>
      </c>
      <c r="V18" s="3">
        <f>VLOOKUP(A18,'CAPEX - PAN'!$A$3:$AN$21,40,FALSE)</f>
        <v>1</v>
      </c>
    </row>
    <row r="19" spans="1:23" x14ac:dyDescent="0.25">
      <c r="A19" t="s">
        <v>91</v>
      </c>
      <c r="B19" s="4" t="s">
        <v>132</v>
      </c>
      <c r="C19">
        <v>510677</v>
      </c>
      <c r="D19" t="s">
        <v>137</v>
      </c>
      <c r="E19" t="s">
        <v>102</v>
      </c>
      <c r="F19" t="s">
        <v>32</v>
      </c>
      <c r="G19" t="s">
        <v>125</v>
      </c>
      <c r="H19" t="s">
        <v>28</v>
      </c>
      <c r="I19" s="1">
        <f>VLOOKUP($A19,'CAPEX - PAN'!$A$3:$AM$21,39,FALSE)</f>
        <v>25312073.41</v>
      </c>
      <c r="J19" s="1">
        <f>VLOOKUP(A19,'[9]CAPEX - BLOCOS PAN'!$A$3:$AM$52,39,FALSE)</f>
        <v>24279291.299987152</v>
      </c>
      <c r="K19" s="1">
        <f>VLOOKUP(A19,'OPEX - PAN'!$A$3:$AL$21,38,FALSE)/30</f>
        <v>1122359.1362424036</v>
      </c>
      <c r="L19" s="1">
        <f>VLOOKUP($A19,'OPEX - PAN'!$A$3:$AL$23,38,FALSE)</f>
        <v>33670774.087272108</v>
      </c>
      <c r="M19" s="1">
        <f>VLOOKUP(A19,'RECEITAS - PAN'!$A$3:$AL$21,38,FALSE)/30</f>
        <v>76161.892102955419</v>
      </c>
      <c r="N19" s="1">
        <f>VLOOKUP($A19,'RECEITAS - PAN'!$A$3:$AL$23,38,FALSE)</f>
        <v>2284856.7630886626</v>
      </c>
      <c r="O19" s="27">
        <f t="shared" si="0"/>
        <v>-56697990.734183446</v>
      </c>
      <c r="P19" s="16">
        <f>VLOOKUP(A19,'Projeção - Demanda PAX'!$A$3:$E$22,5,FALSE)</f>
        <v>500</v>
      </c>
      <c r="Q19" s="16">
        <f>VLOOKUP(A19,'Projeção - Demanda PAX'!$A$3:$AG$22,33,FALSE)</f>
        <v>578</v>
      </c>
      <c r="R19">
        <v>1</v>
      </c>
      <c r="S19">
        <v>-10.916666666666666</v>
      </c>
      <c r="T19">
        <v>-51.6</v>
      </c>
      <c r="U19" s="3">
        <f>VLOOKUP(A19,'BASE PAN - CAPEX'!$A$3:$H$22,8,FALSE)</f>
        <v>0</v>
      </c>
      <c r="V19" s="3">
        <f>VLOOKUP(A19,'CAPEX - PAN'!$A$3:$AN$21,40,FALSE)</f>
        <v>0</v>
      </c>
    </row>
    <row r="20" spans="1:23" s="17" customFormat="1" x14ac:dyDescent="0.25">
      <c r="A20" s="17" t="s">
        <v>317</v>
      </c>
      <c r="B20" s="30" t="str">
        <f>VLOOKUP(A20,'CAPEX - Navegação Aérea'!$A$3:$B$22,2,FALSE)</f>
        <v>COMANDANTE ARISTON PESSOA</v>
      </c>
      <c r="C20" s="17">
        <f>VLOOKUP(A20,'[10]FLUXO DE CAIXA DESC.-BLOCOS PAN'!$A$3:$C$251,3,FALSE)</f>
        <v>230110</v>
      </c>
      <c r="D20" s="17" t="str">
        <f>VLOOKUP(A20,'[10]FLUXO DE CAIXA DESC.-BLOCOS PAN'!$A$3:$D$251,4,FALSE)</f>
        <v>SNAT230110</v>
      </c>
      <c r="E20" s="17" t="s">
        <v>318</v>
      </c>
      <c r="F20" s="17" t="s">
        <v>323</v>
      </c>
      <c r="G20" s="17" t="s">
        <v>126</v>
      </c>
      <c r="H20" s="17" t="s">
        <v>28</v>
      </c>
      <c r="I20" s="28">
        <f>VLOOKUP($A20,'CAPEX - PAN'!$A$3:$AM$21,39,FALSE)</f>
        <v>43099222.500683226</v>
      </c>
      <c r="J20" s="28">
        <v>0</v>
      </c>
      <c r="K20" s="28">
        <f>VLOOKUP(A20,'OPEX - PAN'!$A$3:$AL$21,38,FALSE)/30</f>
        <v>5779865.0119439149</v>
      </c>
      <c r="L20" s="28">
        <f>VLOOKUP($A20,'OPEX - PAN'!$A$3:$AL$23,38,FALSE)</f>
        <v>173395950.35831743</v>
      </c>
      <c r="M20" s="28">
        <f>VLOOKUP(A20,'RECEITAS - PAN'!$A$3:$AL$21,38,FALSE)/30</f>
        <v>1181431.813433235</v>
      </c>
      <c r="N20" s="28">
        <f>VLOOKUP($A20,'RECEITAS - PAN'!$A$3:$AL$23,38,FALSE)</f>
        <v>35442954.402997054</v>
      </c>
      <c r="O20" s="68">
        <f t="shared" si="0"/>
        <v>-181052218.45600361</v>
      </c>
      <c r="P20" s="16">
        <f>VLOOKUP(A20,'Projeção - Demanda PAX'!$A$3:$E$22,5,FALSE)</f>
        <v>21939</v>
      </c>
      <c r="Q20" s="16">
        <f>VLOOKUP(A20,'Projeção - Demanda PAX'!$A$3:$AG$22,33,FALSE)</f>
        <v>49700</v>
      </c>
      <c r="R20" s="17">
        <v>0</v>
      </c>
      <c r="S20" s="17">
        <v>-4.5666666666666664</v>
      </c>
      <c r="T20" s="17">
        <v>-37.799999999999997</v>
      </c>
      <c r="U20" s="3">
        <f>VLOOKUP(A20,'BASE PAN - CAPEX'!$A$3:$H$22,8,FALSE)</f>
        <v>3</v>
      </c>
      <c r="V20" s="29">
        <f>VLOOKUP(A20,'CAPEX - PAN'!$A$3:$AN$21,40,FALSE)</f>
        <v>1</v>
      </c>
      <c r="W20"/>
    </row>
    <row r="21" spans="1:23" s="17" customFormat="1" x14ac:dyDescent="0.25">
      <c r="A21" s="17" t="s">
        <v>321</v>
      </c>
      <c r="B21" s="30" t="str">
        <f>VLOOKUP(A21,'CAPEX - Navegação Aérea'!$A$3:$B$22,2,FALSE)</f>
        <v>AEROPORTO REGIONAL DE CANOA QUEBRADA DRAGÃO DO MAR</v>
      </c>
      <c r="C21" s="17">
        <f>VLOOKUP(A21,'[10]FLUXO DE CAIXA DESC.-BLOCOS PAN'!$A$3:$C$251,3,FALSE)</f>
        <v>230425</v>
      </c>
      <c r="D21" s="17" t="str">
        <f>VLOOKUP(A21,'[10]FLUXO DE CAIXA DESC.-BLOCOS PAN'!$A$3:$D$251,4,FALSE)</f>
        <v>SBJE230425</v>
      </c>
      <c r="E21" s="17" t="s">
        <v>322</v>
      </c>
      <c r="F21" s="17" t="s">
        <v>323</v>
      </c>
      <c r="G21" s="17" t="s">
        <v>126</v>
      </c>
      <c r="H21" s="17" t="s">
        <v>28</v>
      </c>
      <c r="I21" s="28">
        <f>VLOOKUP($A21,'CAPEX - PAN'!$A$3:$AM$21,39,FALSE)</f>
        <v>101100738.42206939</v>
      </c>
      <c r="J21" s="28">
        <v>0</v>
      </c>
      <c r="K21" s="28">
        <f>VLOOKUP(A21,'OPEX - PAN'!$A$3:$AL$21,38,FALSE)/30</f>
        <v>8431519.1454425193</v>
      </c>
      <c r="L21" s="28">
        <f>VLOOKUP($A21,'OPEX - PAN'!$A$3:$AL$23,38,FALSE)</f>
        <v>252945574.36327559</v>
      </c>
      <c r="M21" s="28">
        <f>VLOOKUP(A21,'RECEITAS - PAN'!$A$3:$AL$21,38,FALSE)/30</f>
        <v>10581633.223677134</v>
      </c>
      <c r="N21" s="28">
        <f>VLOOKUP($A21,'RECEITAS - PAN'!$A$3:$AL$23,38,FALSE)</f>
        <v>317448996.71031404</v>
      </c>
      <c r="O21" s="68">
        <f t="shared" si="0"/>
        <v>-36597316.075030923</v>
      </c>
      <c r="P21" s="16">
        <f>VLOOKUP(A21,'Projeção - Demanda PAX'!$A$3:$E$22,5,FALSE)</f>
        <v>210938</v>
      </c>
      <c r="Q21" s="16">
        <f>VLOOKUP(A21,'Projeção - Demanda PAX'!$A$3:$AG$22,33,FALSE)</f>
        <v>407604</v>
      </c>
      <c r="R21" s="17">
        <v>0</v>
      </c>
      <c r="S21" s="17">
        <v>-2.9</v>
      </c>
      <c r="T21" s="17">
        <v>-40.35</v>
      </c>
      <c r="U21" s="3">
        <f>VLOOKUP(A21,'BASE PAN - CAPEX'!$A$3:$H$22,8,FALSE)</f>
        <v>4</v>
      </c>
      <c r="V21" s="29">
        <f>VLOOKUP(A21,'CAPEX - PAN'!$A$3:$AN$21,40,FALSE)</f>
        <v>4</v>
      </c>
      <c r="W21"/>
    </row>
    <row r="22" spans="1:23" x14ac:dyDescent="0.25">
      <c r="B22" s="5"/>
      <c r="C22" s="5"/>
      <c r="D22" s="5"/>
      <c r="H22" s="15" t="s">
        <v>121</v>
      </c>
      <c r="I22" s="7">
        <f>SUBTOTAL(109,'AMPLIAR (RESUMO)'!I3:I21)</f>
        <v>1291414575.9646769</v>
      </c>
      <c r="J22" s="7">
        <f>SUBTOTAL(109,'AMPLIAR (RESUMO)'!J3:J21)</f>
        <v>1357273403.3487444</v>
      </c>
      <c r="K22" s="7"/>
      <c r="L22" s="7">
        <f>SUBTOTAL(109,'AMPLIAR (RESUMO)'!L3:L21)</f>
        <v>1974590129.1391144</v>
      </c>
      <c r="M22" s="7"/>
      <c r="N22" s="7">
        <f>SUBTOTAL(109,'AMPLIAR (RESUMO)'!N3:N21)</f>
        <v>1125003946.9856815</v>
      </c>
      <c r="O22" s="7">
        <f>SUBTOTAL(109,'AMPLIAR (RESUMO)'!O3:O21)</f>
        <v>-2141000758.1181102</v>
      </c>
      <c r="P22" s="25">
        <f>SUBTOTAL(109,'AMPLIAR (RESUMO)'!P3:P21)</f>
        <v>670010</v>
      </c>
      <c r="Q22" s="25">
        <f>SUBTOTAL(109,'AMPLIAR (RESUMO)'!Q3:Q21)</f>
        <v>1514054.5</v>
      </c>
    </row>
    <row r="23" spans="1:23" x14ac:dyDescent="0.25">
      <c r="L23" s="11"/>
      <c r="M23" s="11"/>
      <c r="N23" s="11"/>
    </row>
    <row r="25" spans="1:23" x14ac:dyDescent="0.25">
      <c r="A25" s="23" t="s">
        <v>146</v>
      </c>
      <c r="E25" s="23"/>
    </row>
    <row r="26" spans="1:23" x14ac:dyDescent="0.25">
      <c r="I26" s="66"/>
    </row>
    <row r="27" spans="1:23" x14ac:dyDescent="0.25">
      <c r="I27" s="66"/>
    </row>
    <row r="28" spans="1:23" x14ac:dyDescent="0.25">
      <c r="I28" s="66"/>
    </row>
    <row r="29" spans="1:23" x14ac:dyDescent="0.25">
      <c r="I29" s="66"/>
    </row>
    <row r="30" spans="1:23" x14ac:dyDescent="0.25">
      <c r="I30" s="66"/>
    </row>
    <row r="31" spans="1:23" x14ac:dyDescent="0.25">
      <c r="I31" s="66"/>
    </row>
    <row r="32" spans="1:23" x14ac:dyDescent="0.25">
      <c r="I32" s="66"/>
    </row>
    <row r="33" spans="9:9" x14ac:dyDescent="0.25">
      <c r="I33" s="66"/>
    </row>
    <row r="34" spans="9:9" x14ac:dyDescent="0.25">
      <c r="I34" s="66"/>
    </row>
    <row r="35" spans="9:9" x14ac:dyDescent="0.25">
      <c r="I35" s="66"/>
    </row>
    <row r="36" spans="9:9" x14ac:dyDescent="0.25">
      <c r="I36" s="66"/>
    </row>
    <row r="37" spans="9:9" x14ac:dyDescent="0.25">
      <c r="I37" s="66"/>
    </row>
    <row r="38" spans="9:9" x14ac:dyDescent="0.25">
      <c r="I38" s="66"/>
    </row>
    <row r="39" spans="9:9" x14ac:dyDescent="0.25">
      <c r="I39" s="66"/>
    </row>
    <row r="40" spans="9:9" x14ac:dyDescent="0.25">
      <c r="I40" s="66"/>
    </row>
    <row r="41" spans="9:9" x14ac:dyDescent="0.25">
      <c r="I41" s="66"/>
    </row>
    <row r="42" spans="9:9" x14ac:dyDescent="0.25">
      <c r="I42" s="66"/>
    </row>
    <row r="43" spans="9:9" x14ac:dyDescent="0.25">
      <c r="I43" s="66"/>
    </row>
    <row r="44" spans="9:9" x14ac:dyDescent="0.25">
      <c r="I44" s="66"/>
    </row>
    <row r="46" spans="9:9" x14ac:dyDescent="0.25">
      <c r="I46" s="1"/>
    </row>
    <row r="47" spans="9:9" x14ac:dyDescent="0.25">
      <c r="I47" s="1"/>
    </row>
  </sheetData>
  <autoFilter ref="A2:T21" xr:uid="{EDCAA8D6-B299-4FC9-9EEA-CF3C52240B74}"/>
  <conditionalFormatting sqref="D15:D18">
    <cfRule type="duplicateValues" dxfId="11" priority="396"/>
  </conditionalFormatting>
  <hyperlinks>
    <hyperlink ref="A25" location="Introdução!A1" display="Introdução!A1" xr:uid="{7AA0D43F-E934-499F-8084-11772DEAD91B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A9C2-6516-4DFE-80D4-1529C249F8C7}">
  <sheetPr codeName="Planilha6">
    <tabColor rgb="FF92D050"/>
  </sheetPr>
  <dimension ref="A1:M25"/>
  <sheetViews>
    <sheetView workbookViewId="0">
      <selection activeCell="N1" sqref="N1:O1048576"/>
    </sheetView>
  </sheetViews>
  <sheetFormatPr defaultRowHeight="15" x14ac:dyDescent="0.25"/>
  <cols>
    <col min="2" max="2" width="4.28515625" customWidth="1"/>
    <col min="3" max="3" width="16.42578125" bestFit="1" customWidth="1"/>
    <col min="4" max="4" width="17" customWidth="1"/>
    <col min="5" max="6" width="16.42578125" bestFit="1" customWidth="1"/>
    <col min="7" max="7" width="16.85546875" customWidth="1"/>
    <col min="8" max="8" width="15.42578125" bestFit="1" customWidth="1"/>
    <col min="9" max="9" width="16.42578125" bestFit="1" customWidth="1"/>
    <col min="10" max="10" width="16.7109375" customWidth="1"/>
    <col min="11" max="11" width="15.42578125" bestFit="1" customWidth="1"/>
    <col min="12" max="12" width="4.28515625" customWidth="1"/>
    <col min="13" max="13" width="16.42578125" customWidth="1"/>
  </cols>
  <sheetData>
    <row r="1" spans="1:13" x14ac:dyDescent="0.25">
      <c r="C1" s="79" t="s">
        <v>232</v>
      </c>
      <c r="D1" s="79"/>
      <c r="E1" s="79"/>
      <c r="F1" s="79"/>
      <c r="G1" s="79"/>
      <c r="H1" s="79"/>
      <c r="I1" s="79"/>
      <c r="J1" s="79"/>
      <c r="K1" s="79"/>
      <c r="L1" s="3"/>
    </row>
    <row r="2" spans="1:13" x14ac:dyDescent="0.25">
      <c r="A2" t="s">
        <v>0</v>
      </c>
      <c r="B2" s="3"/>
      <c r="C2" s="3" t="s">
        <v>107</v>
      </c>
      <c r="D2" s="3" t="s">
        <v>108</v>
      </c>
      <c r="E2" s="3" t="s">
        <v>109</v>
      </c>
      <c r="F2" s="3" t="s">
        <v>110</v>
      </c>
      <c r="G2" s="3" t="s">
        <v>111</v>
      </c>
      <c r="H2" s="3" t="s">
        <v>112</v>
      </c>
      <c r="I2" s="3" t="s">
        <v>113</v>
      </c>
      <c r="J2" s="3" t="s">
        <v>114</v>
      </c>
      <c r="K2" s="3" t="s">
        <v>115</v>
      </c>
      <c r="L2" s="3"/>
      <c r="M2" s="3" t="s">
        <v>20</v>
      </c>
    </row>
    <row r="3" spans="1:13" x14ac:dyDescent="0.25">
      <c r="A3" s="5" t="s">
        <v>47</v>
      </c>
      <c r="B3" s="6"/>
      <c r="C3" s="6">
        <v>0</v>
      </c>
      <c r="D3" s="6">
        <v>186003.94</v>
      </c>
      <c r="E3" s="6">
        <v>186003.94</v>
      </c>
      <c r="F3" s="6">
        <v>186003.94</v>
      </c>
      <c r="G3" s="6">
        <v>5372219</v>
      </c>
      <c r="H3" s="6">
        <v>186003.94</v>
      </c>
      <c r="I3" s="6">
        <v>186003.94</v>
      </c>
      <c r="J3" s="6">
        <v>186003.94</v>
      </c>
      <c r="K3" s="6">
        <v>186003.94</v>
      </c>
      <c r="L3" s="6"/>
      <c r="M3" s="53">
        <f>SUM(C3:K3)</f>
        <v>6674246.5800000019</v>
      </c>
    </row>
    <row r="4" spans="1:13" x14ac:dyDescent="0.25">
      <c r="A4" s="5" t="s">
        <v>36</v>
      </c>
      <c r="B4" s="6"/>
      <c r="C4" s="6">
        <v>0</v>
      </c>
      <c r="D4" s="6">
        <v>174614.58</v>
      </c>
      <c r="E4" s="6">
        <v>174614.58</v>
      </c>
      <c r="F4" s="6">
        <v>174614.58</v>
      </c>
      <c r="G4" s="6">
        <v>5342236.87</v>
      </c>
      <c r="H4" s="6">
        <v>174614.58</v>
      </c>
      <c r="I4" s="6">
        <v>174614.58</v>
      </c>
      <c r="J4" s="6">
        <v>174614.58</v>
      </c>
      <c r="K4" s="6">
        <v>174614.58</v>
      </c>
      <c r="L4" s="6"/>
      <c r="M4" s="53">
        <f t="shared" ref="M4:M22" si="0">SUM(C4:K4)</f>
        <v>6564538.9300000006</v>
      </c>
    </row>
    <row r="5" spans="1:13" x14ac:dyDescent="0.25">
      <c r="A5" s="5" t="s">
        <v>39</v>
      </c>
      <c r="B5" s="6"/>
      <c r="C5" s="6">
        <v>7288395.25</v>
      </c>
      <c r="D5" s="6">
        <v>166346.20000000001</v>
      </c>
      <c r="E5" s="6">
        <v>166346.20000000001</v>
      </c>
      <c r="F5" s="6">
        <v>166346.20000000001</v>
      </c>
      <c r="G5" s="6">
        <v>8089229.9000000004</v>
      </c>
      <c r="H5" s="6">
        <v>166346.20000000001</v>
      </c>
      <c r="I5" s="6">
        <v>166346.20000000001</v>
      </c>
      <c r="J5" s="6">
        <v>166346.20000000001</v>
      </c>
      <c r="K5" s="6">
        <v>166346.20000000001</v>
      </c>
      <c r="L5" s="6"/>
      <c r="M5" s="53">
        <f t="shared" si="0"/>
        <v>16542048.549999997</v>
      </c>
    </row>
    <row r="6" spans="1:13" x14ac:dyDescent="0.25">
      <c r="A6" s="5" t="s">
        <v>50</v>
      </c>
      <c r="B6" s="6"/>
      <c r="C6" s="6">
        <v>0</v>
      </c>
      <c r="D6" s="6">
        <v>154036.71</v>
      </c>
      <c r="E6" s="6">
        <v>154036.71</v>
      </c>
      <c r="F6" s="6">
        <v>154036.71</v>
      </c>
      <c r="G6" s="6">
        <v>6861652.0300000003</v>
      </c>
      <c r="H6" s="6">
        <v>154036.71</v>
      </c>
      <c r="I6" s="6">
        <v>154036.71</v>
      </c>
      <c r="J6" s="6">
        <v>154036.71</v>
      </c>
      <c r="K6" s="6">
        <v>154036.71</v>
      </c>
      <c r="L6" s="6"/>
      <c r="M6" s="53">
        <f t="shared" si="0"/>
        <v>7939909</v>
      </c>
    </row>
    <row r="7" spans="1:13" x14ac:dyDescent="0.25">
      <c r="A7" s="5" t="s">
        <v>53</v>
      </c>
      <c r="B7" s="6"/>
      <c r="C7" s="6">
        <v>0</v>
      </c>
      <c r="D7" s="6">
        <v>166346.20000000001</v>
      </c>
      <c r="E7" s="6">
        <v>166346.20000000001</v>
      </c>
      <c r="F7" s="6">
        <v>166346.20000000001</v>
      </c>
      <c r="G7" s="6">
        <v>5702624.5</v>
      </c>
      <c r="H7" s="6">
        <v>166346.20000000001</v>
      </c>
      <c r="I7" s="6">
        <v>166346.20000000001</v>
      </c>
      <c r="J7" s="6">
        <v>166346.20000000001</v>
      </c>
      <c r="K7" s="6">
        <v>166346.20000000001</v>
      </c>
      <c r="L7" s="6"/>
      <c r="M7" s="53">
        <f t="shared" si="0"/>
        <v>6867047.9000000004</v>
      </c>
    </row>
    <row r="8" spans="1:13" x14ac:dyDescent="0.25">
      <c r="A8" s="5" t="s">
        <v>56</v>
      </c>
      <c r="B8" s="6"/>
      <c r="C8" s="6">
        <v>6632459.6399999997</v>
      </c>
      <c r="D8" s="6">
        <v>177235.13</v>
      </c>
      <c r="E8" s="6">
        <v>177235.13</v>
      </c>
      <c r="F8" s="6">
        <v>177235.13</v>
      </c>
      <c r="G8" s="6">
        <v>7272531.9500000002</v>
      </c>
      <c r="H8" s="6">
        <v>177235.13</v>
      </c>
      <c r="I8" s="6">
        <v>177235.13</v>
      </c>
      <c r="J8" s="6">
        <v>177235.13</v>
      </c>
      <c r="K8" s="6">
        <v>177235.13</v>
      </c>
      <c r="L8" s="3"/>
      <c r="M8" s="53">
        <f t="shared" si="0"/>
        <v>15145637.500000004</v>
      </c>
    </row>
    <row r="9" spans="1:13" x14ac:dyDescent="0.25">
      <c r="A9" s="5" t="s">
        <v>91</v>
      </c>
      <c r="B9" s="6"/>
      <c r="C9" s="6">
        <v>1921537.81</v>
      </c>
      <c r="D9" s="6">
        <v>63965.39</v>
      </c>
      <c r="E9" s="6">
        <v>63965.39</v>
      </c>
      <c r="F9" s="6">
        <v>63965.39</v>
      </c>
      <c r="G9" s="6">
        <v>1921537.81</v>
      </c>
      <c r="H9" s="6">
        <v>63965.39</v>
      </c>
      <c r="I9" s="6">
        <v>63965.39</v>
      </c>
      <c r="J9" s="6">
        <v>63965.39</v>
      </c>
      <c r="K9" s="6">
        <v>63965.39</v>
      </c>
      <c r="L9" s="6"/>
      <c r="M9" s="53">
        <f t="shared" si="0"/>
        <v>4290833.3499999996</v>
      </c>
    </row>
    <row r="10" spans="1:13" x14ac:dyDescent="0.25">
      <c r="A10" s="5" t="s">
        <v>154</v>
      </c>
      <c r="B10" s="6"/>
      <c r="C10" s="6">
        <v>1897408.74</v>
      </c>
      <c r="D10" s="6">
        <v>53887.69</v>
      </c>
      <c r="E10" s="6">
        <v>53887.69</v>
      </c>
      <c r="F10" s="6">
        <v>53887.69</v>
      </c>
      <c r="G10" s="6">
        <v>1897408.74</v>
      </c>
      <c r="H10" s="6">
        <v>53887.69</v>
      </c>
      <c r="I10" s="6">
        <v>53887.69</v>
      </c>
      <c r="J10" s="6">
        <v>53887.69</v>
      </c>
      <c r="K10" s="6">
        <v>53887.69</v>
      </c>
      <c r="L10" s="6"/>
      <c r="M10" s="53">
        <f t="shared" si="0"/>
        <v>4172031.3099999996</v>
      </c>
    </row>
    <row r="11" spans="1:13" x14ac:dyDescent="0.25">
      <c r="A11" s="5" t="s">
        <v>63</v>
      </c>
      <c r="B11" s="6"/>
      <c r="C11" s="6">
        <v>0</v>
      </c>
      <c r="D11" s="6">
        <v>166346.20000000001</v>
      </c>
      <c r="E11" s="6">
        <v>166346.20000000001</v>
      </c>
      <c r="F11" s="6">
        <v>166346.20000000001</v>
      </c>
      <c r="G11" s="6">
        <v>5702624.5</v>
      </c>
      <c r="H11" s="6">
        <v>166346.20000000001</v>
      </c>
      <c r="I11" s="6">
        <v>166346.20000000001</v>
      </c>
      <c r="J11" s="6">
        <v>166346.20000000001</v>
      </c>
      <c r="K11" s="6">
        <v>166346.20000000001</v>
      </c>
      <c r="L11" s="6"/>
      <c r="M11" s="53">
        <f t="shared" si="0"/>
        <v>6867047.9000000004</v>
      </c>
    </row>
    <row r="12" spans="1:13" x14ac:dyDescent="0.25">
      <c r="A12" s="5" t="s">
        <v>157</v>
      </c>
      <c r="B12" s="6"/>
      <c r="C12" s="6">
        <v>1476816.47</v>
      </c>
      <c r="D12" s="6">
        <v>45894.35</v>
      </c>
      <c r="E12" s="6">
        <v>45894.35</v>
      </c>
      <c r="F12" s="6">
        <v>45894.35</v>
      </c>
      <c r="G12" s="6">
        <v>1615959.77</v>
      </c>
      <c r="H12" s="6">
        <v>45894.35</v>
      </c>
      <c r="I12" s="6">
        <v>45894.35</v>
      </c>
      <c r="J12" s="6">
        <v>45894.35</v>
      </c>
      <c r="K12" s="6">
        <v>45894.35</v>
      </c>
      <c r="L12" s="6"/>
      <c r="M12" s="53">
        <f t="shared" si="0"/>
        <v>3414036.6900000004</v>
      </c>
    </row>
    <row r="13" spans="1:13" x14ac:dyDescent="0.25">
      <c r="A13" s="5" t="s">
        <v>67</v>
      </c>
      <c r="B13" s="6"/>
      <c r="C13" s="6">
        <v>0</v>
      </c>
      <c r="D13" s="6">
        <v>145721.29999999999</v>
      </c>
      <c r="E13" s="6">
        <v>145721.29999999999</v>
      </c>
      <c r="F13" s="6">
        <v>145721.29999999999</v>
      </c>
      <c r="G13" s="6">
        <v>5774635.0300000003</v>
      </c>
      <c r="H13" s="6">
        <v>145721.29999999999</v>
      </c>
      <c r="I13" s="6">
        <v>145721.29999999999</v>
      </c>
      <c r="J13" s="6">
        <v>145721.29999999999</v>
      </c>
      <c r="K13" s="6">
        <v>145721.29999999999</v>
      </c>
      <c r="L13" s="6"/>
      <c r="M13" s="53">
        <f t="shared" si="0"/>
        <v>6794684.1299999999</v>
      </c>
    </row>
    <row r="14" spans="1:13" x14ac:dyDescent="0.25">
      <c r="A14" s="5" t="s">
        <v>128</v>
      </c>
      <c r="B14" s="6"/>
      <c r="C14" s="6">
        <v>0</v>
      </c>
      <c r="D14" s="6">
        <v>174614.58</v>
      </c>
      <c r="E14" s="6">
        <v>174614.58</v>
      </c>
      <c r="F14" s="6">
        <v>174614.58</v>
      </c>
      <c r="G14" s="6">
        <v>5342236.87</v>
      </c>
      <c r="H14" s="6">
        <v>174614.58</v>
      </c>
      <c r="I14" s="6">
        <v>174614.58</v>
      </c>
      <c r="J14" s="6">
        <v>174614.58</v>
      </c>
      <c r="K14" s="6">
        <v>174614.58</v>
      </c>
      <c r="L14" s="3"/>
      <c r="M14" s="53">
        <f t="shared" si="0"/>
        <v>6564538.9300000006</v>
      </c>
    </row>
    <row r="15" spans="1:13" x14ac:dyDescent="0.25">
      <c r="A15" s="5" t="s">
        <v>71</v>
      </c>
      <c r="B15" s="6"/>
      <c r="C15" s="6">
        <v>0</v>
      </c>
      <c r="D15" s="6">
        <v>177235.13</v>
      </c>
      <c r="E15" s="6">
        <v>177235.13</v>
      </c>
      <c r="F15" s="6">
        <v>177235.13</v>
      </c>
      <c r="G15" s="6">
        <v>5984709</v>
      </c>
      <c r="H15" s="6">
        <v>177235.13</v>
      </c>
      <c r="I15" s="6">
        <v>177235.13</v>
      </c>
      <c r="J15" s="6">
        <v>177235.13</v>
      </c>
      <c r="K15" s="6">
        <v>177235.13</v>
      </c>
      <c r="L15" s="6"/>
      <c r="M15" s="53">
        <f t="shared" si="0"/>
        <v>7225354.9099999992</v>
      </c>
    </row>
    <row r="16" spans="1:13" x14ac:dyDescent="0.25">
      <c r="A16" s="5" t="s">
        <v>130</v>
      </c>
      <c r="B16" s="6"/>
      <c r="C16" s="6">
        <v>0</v>
      </c>
      <c r="D16" s="6">
        <v>163811.65</v>
      </c>
      <c r="E16" s="6">
        <v>163811.65</v>
      </c>
      <c r="F16" s="6">
        <v>163811.65</v>
      </c>
      <c r="G16" s="6">
        <v>5478747.8899999997</v>
      </c>
      <c r="H16" s="6">
        <v>163811.65</v>
      </c>
      <c r="I16" s="6">
        <v>163811.65</v>
      </c>
      <c r="J16" s="6">
        <v>163811.65</v>
      </c>
      <c r="K16" s="6">
        <v>163811.65</v>
      </c>
      <c r="L16" s="6"/>
      <c r="M16" s="53">
        <f t="shared" si="0"/>
        <v>6625429.4400000013</v>
      </c>
    </row>
    <row r="17" spans="1:13" x14ac:dyDescent="0.25">
      <c r="A17" s="5" t="s">
        <v>43</v>
      </c>
      <c r="B17" s="6"/>
      <c r="C17" s="6">
        <v>0</v>
      </c>
      <c r="D17" s="6">
        <v>165801.23000000001</v>
      </c>
      <c r="E17" s="6">
        <v>165801.23000000001</v>
      </c>
      <c r="F17" s="6">
        <v>165801.23000000001</v>
      </c>
      <c r="G17" s="6">
        <v>5389935.8899999997</v>
      </c>
      <c r="H17" s="6">
        <v>165801.23000000001</v>
      </c>
      <c r="I17" s="6">
        <v>165801.23000000001</v>
      </c>
      <c r="J17" s="6">
        <v>165801.23000000001</v>
      </c>
      <c r="K17" s="6">
        <v>165801.23000000001</v>
      </c>
      <c r="L17" s="6"/>
      <c r="M17" s="53">
        <f t="shared" si="0"/>
        <v>6550544.5000000019</v>
      </c>
    </row>
    <row r="18" spans="1:13" x14ac:dyDescent="0.25">
      <c r="A18" s="5" t="s">
        <v>76</v>
      </c>
      <c r="B18" s="6"/>
      <c r="C18" s="6">
        <v>0</v>
      </c>
      <c r="D18" s="6">
        <v>170004.2</v>
      </c>
      <c r="E18" s="6">
        <v>170004.2</v>
      </c>
      <c r="F18" s="6">
        <v>170004.2</v>
      </c>
      <c r="G18" s="6">
        <v>7354389.8099999996</v>
      </c>
      <c r="H18" s="6">
        <v>170004.2</v>
      </c>
      <c r="I18" s="6">
        <v>170004.2</v>
      </c>
      <c r="J18" s="6">
        <v>170004.2</v>
      </c>
      <c r="K18" s="6">
        <v>170004.2</v>
      </c>
      <c r="L18" s="3"/>
      <c r="M18" s="53">
        <f t="shared" si="0"/>
        <v>8544419.209999999</v>
      </c>
    </row>
    <row r="19" spans="1:13" x14ac:dyDescent="0.25">
      <c r="A19" s="52" t="s">
        <v>80</v>
      </c>
      <c r="B19" s="6"/>
      <c r="C19" s="6">
        <v>0</v>
      </c>
      <c r="D19" s="6">
        <v>144516.38</v>
      </c>
      <c r="E19" s="6">
        <v>144516.38</v>
      </c>
      <c r="F19" s="6">
        <v>144516.38</v>
      </c>
      <c r="G19" s="6">
        <v>7337903.6500000004</v>
      </c>
      <c r="H19" s="6">
        <v>144516.38</v>
      </c>
      <c r="I19" s="6">
        <v>144516.38</v>
      </c>
      <c r="J19" s="6">
        <v>144516.38</v>
      </c>
      <c r="K19" s="6">
        <v>144516.38</v>
      </c>
      <c r="L19" s="6"/>
      <c r="M19" s="53">
        <f t="shared" si="0"/>
        <v>8349518.3099999996</v>
      </c>
    </row>
    <row r="20" spans="1:13" x14ac:dyDescent="0.25">
      <c r="A20" s="5" t="s">
        <v>85</v>
      </c>
      <c r="B20" s="6"/>
      <c r="C20" s="6">
        <v>0</v>
      </c>
      <c r="D20" s="6">
        <v>186003.94</v>
      </c>
      <c r="E20" s="6">
        <v>186003.94</v>
      </c>
      <c r="F20" s="6">
        <v>186003.94</v>
      </c>
      <c r="G20" s="6">
        <v>5372219</v>
      </c>
      <c r="H20" s="6">
        <v>186003.94</v>
      </c>
      <c r="I20" s="6">
        <v>186003.94</v>
      </c>
      <c r="J20" s="6">
        <v>186003.94</v>
      </c>
      <c r="K20" s="6">
        <v>186003.94</v>
      </c>
      <c r="L20" s="6"/>
      <c r="M20" s="53">
        <f t="shared" si="0"/>
        <v>6674246.5800000019</v>
      </c>
    </row>
    <row r="21" spans="1:13" x14ac:dyDescent="0.25">
      <c r="A21" s="5" t="s">
        <v>321</v>
      </c>
      <c r="B21" s="6"/>
      <c r="C21" s="6">
        <v>13267790.359999999</v>
      </c>
      <c r="D21" s="6">
        <v>251522.54</v>
      </c>
      <c r="E21" s="6">
        <v>251522.54</v>
      </c>
      <c r="F21" s="6">
        <v>251522.54</v>
      </c>
      <c r="G21" s="6">
        <v>17636638.84</v>
      </c>
      <c r="H21" s="6">
        <v>251522.54</v>
      </c>
      <c r="I21" s="6">
        <v>251522.54</v>
      </c>
      <c r="J21" s="6">
        <v>251522.54</v>
      </c>
      <c r="K21" s="6">
        <v>251522.54</v>
      </c>
      <c r="L21" s="6"/>
      <c r="M21" s="53">
        <f t="shared" si="0"/>
        <v>32665086.979999993</v>
      </c>
    </row>
    <row r="22" spans="1:13" x14ac:dyDescent="0.25">
      <c r="A22" s="5" t="s">
        <v>317</v>
      </c>
      <c r="B22" s="6"/>
      <c r="C22" s="6">
        <v>0</v>
      </c>
      <c r="D22" s="6">
        <v>164790.63</v>
      </c>
      <c r="E22" s="6">
        <v>164790.63</v>
      </c>
      <c r="F22" s="6">
        <v>164790.63</v>
      </c>
      <c r="G22" s="6">
        <v>8010359.7800000003</v>
      </c>
      <c r="H22" s="6">
        <v>164790.63</v>
      </c>
      <c r="I22" s="6">
        <v>164790.63</v>
      </c>
      <c r="J22" s="6">
        <v>164790.63</v>
      </c>
      <c r="K22" s="6">
        <v>164790.63</v>
      </c>
      <c r="L22" s="6"/>
      <c r="M22" s="53">
        <f t="shared" si="0"/>
        <v>9163894.1900000032</v>
      </c>
    </row>
    <row r="23" spans="1:13" x14ac:dyDescent="0.25">
      <c r="C23">
        <v>3</v>
      </c>
      <c r="D23">
        <v>4</v>
      </c>
      <c r="E23">
        <v>5</v>
      </c>
      <c r="F23">
        <v>6</v>
      </c>
      <c r="G23">
        <v>7</v>
      </c>
      <c r="H23">
        <v>8</v>
      </c>
      <c r="I23">
        <v>9</v>
      </c>
      <c r="J23">
        <v>10</v>
      </c>
      <c r="K23">
        <v>11</v>
      </c>
      <c r="M23" s="8"/>
    </row>
    <row r="25" spans="1:13" x14ac:dyDescent="0.25">
      <c r="A25" s="23" t="s">
        <v>146</v>
      </c>
    </row>
  </sheetData>
  <autoFilter ref="A2:M20" xr:uid="{00000000-0009-0000-0000-000005000000}"/>
  <mergeCells count="1">
    <mergeCell ref="C1:K1"/>
  </mergeCells>
  <hyperlinks>
    <hyperlink ref="A25" location="Introdução!A1" display="Introdução!A1" xr:uid="{FF978D3F-4998-4BC9-91D6-C03DC7163629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C767F-A41B-4D8C-ADA0-3D4AB05AD318}">
  <sheetPr codeName="Planilha7">
    <tabColor rgb="FF92D050"/>
  </sheetPr>
  <dimension ref="A1:S57"/>
  <sheetViews>
    <sheetView topLeftCell="H1" zoomScale="90" zoomScaleNormal="90" workbookViewId="0">
      <selection activeCell="T1" sqref="T1:U1048576"/>
    </sheetView>
  </sheetViews>
  <sheetFormatPr defaultRowHeight="15" x14ac:dyDescent="0.25"/>
  <cols>
    <col min="1" max="1" width="13.7109375" bestFit="1" customWidth="1"/>
    <col min="2" max="2" width="5" customWidth="1"/>
    <col min="3" max="17" width="14.85546875" bestFit="1" customWidth="1"/>
    <col min="18" max="18" width="4.28515625" customWidth="1"/>
    <col min="19" max="19" width="13.5703125" bestFit="1" customWidth="1"/>
  </cols>
  <sheetData>
    <row r="1" spans="1:19" x14ac:dyDescent="0.25">
      <c r="C1" s="79" t="s">
        <v>106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3"/>
    </row>
    <row r="2" spans="1:19" x14ac:dyDescent="0.25">
      <c r="A2" s="3" t="s">
        <v>0</v>
      </c>
      <c r="B2" s="3"/>
      <c r="C2" s="3" t="s">
        <v>249</v>
      </c>
      <c r="D2" s="3" t="s">
        <v>250</v>
      </c>
      <c r="E2" s="3" t="s">
        <v>251</v>
      </c>
      <c r="F2" s="3" t="s">
        <v>109</v>
      </c>
      <c r="G2" s="3" t="s">
        <v>110</v>
      </c>
      <c r="H2" s="3" t="s">
        <v>252</v>
      </c>
      <c r="I2" s="3" t="s">
        <v>253</v>
      </c>
      <c r="J2" s="3" t="s">
        <v>254</v>
      </c>
      <c r="K2" s="3" t="s">
        <v>112</v>
      </c>
      <c r="L2" s="3" t="s">
        <v>113</v>
      </c>
      <c r="M2" s="3" t="s">
        <v>255</v>
      </c>
      <c r="N2" s="3" t="s">
        <v>256</v>
      </c>
      <c r="O2" s="3" t="s">
        <v>257</v>
      </c>
      <c r="P2" s="3" t="s">
        <v>115</v>
      </c>
      <c r="Q2" s="3" t="s">
        <v>258</v>
      </c>
      <c r="R2" s="3"/>
      <c r="S2" s="3" t="s">
        <v>20</v>
      </c>
    </row>
    <row r="3" spans="1:19" x14ac:dyDescent="0.25">
      <c r="A3" s="5" t="s">
        <v>46</v>
      </c>
      <c r="B3" s="5"/>
      <c r="C3" s="6">
        <f>VLOOKUP(A3,'[14]Calculo-Desemb.'!$A$6:$C$55,3,)</f>
        <v>90137.113430080921</v>
      </c>
      <c r="D3" s="6">
        <v>90137.113430080921</v>
      </c>
      <c r="E3" s="6">
        <v>90137.113430080921</v>
      </c>
      <c r="F3" s="6">
        <v>90137.113430080921</v>
      </c>
      <c r="G3" s="6">
        <v>90137.113430080921</v>
      </c>
      <c r="H3" s="6">
        <v>90137.113430080921</v>
      </c>
      <c r="I3" s="6">
        <v>90137.113430080921</v>
      </c>
      <c r="J3" s="6">
        <v>90137.113430080921</v>
      </c>
      <c r="K3" s="6">
        <v>90137.113430080921</v>
      </c>
      <c r="L3" s="6">
        <v>90137.113430080921</v>
      </c>
      <c r="M3" s="6">
        <v>90137.113430080921</v>
      </c>
      <c r="N3" s="6">
        <v>90137.113430080921</v>
      </c>
      <c r="O3" s="6">
        <v>90137.113430080921</v>
      </c>
      <c r="P3" s="6">
        <v>90137.113430080921</v>
      </c>
      <c r="Q3" s="6">
        <v>90137.113430080921</v>
      </c>
      <c r="R3" s="6"/>
      <c r="S3" s="53">
        <f>SUM(C3:Q3)</f>
        <v>1352056.7014512138</v>
      </c>
    </row>
    <row r="4" spans="1:19" x14ac:dyDescent="0.25">
      <c r="A4" s="5" t="s">
        <v>325</v>
      </c>
      <c r="B4" s="5"/>
      <c r="C4" s="6">
        <f>VLOOKUP(A4,'[14]Calculo-Desemb.'!$A$6:$C$55,3,)</f>
        <v>103098.53619961849</v>
      </c>
      <c r="D4" s="6">
        <v>103098.53619961849</v>
      </c>
      <c r="E4" s="6">
        <v>103098.53619961849</v>
      </c>
      <c r="F4" s="6">
        <v>103098.53619961849</v>
      </c>
      <c r="G4" s="6">
        <v>103098.53619961849</v>
      </c>
      <c r="H4" s="6">
        <v>103098.53619961849</v>
      </c>
      <c r="I4" s="6">
        <v>103098.53619961849</v>
      </c>
      <c r="J4" s="6">
        <v>103098.53619961849</v>
      </c>
      <c r="K4" s="6">
        <v>103098.53619961849</v>
      </c>
      <c r="L4" s="6">
        <v>103098.53619961849</v>
      </c>
      <c r="M4" s="6">
        <v>103098.53619961849</v>
      </c>
      <c r="N4" s="6">
        <v>103098.53619961849</v>
      </c>
      <c r="O4" s="6">
        <v>103098.53619961849</v>
      </c>
      <c r="P4" s="6">
        <v>103098.53619961849</v>
      </c>
      <c r="Q4" s="6">
        <v>103098.53619961849</v>
      </c>
      <c r="R4" s="6"/>
      <c r="S4" s="53">
        <f t="shared" ref="S4:S54" si="0">SUM(C4:Q4)</f>
        <v>1546478.0429942778</v>
      </c>
    </row>
    <row r="5" spans="1:19" x14ac:dyDescent="0.25">
      <c r="A5" s="5" t="s">
        <v>47</v>
      </c>
      <c r="B5" s="5"/>
      <c r="C5" s="6">
        <f>VLOOKUP(A5,'[14]Calculo-Desemb.'!$A$6:$C$55,3,)</f>
        <v>99085.216523757219</v>
      </c>
      <c r="D5" s="6">
        <v>99085.216523757219</v>
      </c>
      <c r="E5" s="6">
        <v>99085.216523757219</v>
      </c>
      <c r="F5" s="6">
        <v>99085.216523757219</v>
      </c>
      <c r="G5" s="6">
        <v>99085.216523757219</v>
      </c>
      <c r="H5" s="6">
        <v>99085.216523757219</v>
      </c>
      <c r="I5" s="6">
        <v>99085.216523757219</v>
      </c>
      <c r="J5" s="6">
        <v>99085.216523757219</v>
      </c>
      <c r="K5" s="6">
        <v>99085.216523757219</v>
      </c>
      <c r="L5" s="6">
        <v>99085.216523757219</v>
      </c>
      <c r="M5" s="6">
        <v>99085.216523757219</v>
      </c>
      <c r="N5" s="6">
        <v>99085.216523757219</v>
      </c>
      <c r="O5" s="6">
        <v>99085.216523757219</v>
      </c>
      <c r="P5" s="6">
        <v>99085.216523757219</v>
      </c>
      <c r="Q5" s="6">
        <v>99085.216523757219</v>
      </c>
      <c r="R5" s="6"/>
      <c r="S5" s="53">
        <f t="shared" si="0"/>
        <v>1486278.2478563583</v>
      </c>
    </row>
    <row r="6" spans="1:19" x14ac:dyDescent="0.25">
      <c r="A6" s="5" t="s">
        <v>36</v>
      </c>
      <c r="B6" s="5"/>
      <c r="C6" s="6">
        <f>VLOOKUP(A6,'[14]Calculo-Desemb.'!$A$6:$C$55,3,)</f>
        <v>91496.351861098257</v>
      </c>
      <c r="D6" s="6">
        <v>91496.351861098257</v>
      </c>
      <c r="E6" s="6">
        <v>91496.351861098257</v>
      </c>
      <c r="F6" s="6">
        <v>91496.351861098257</v>
      </c>
      <c r="G6" s="6">
        <v>91496.351861098257</v>
      </c>
      <c r="H6" s="6">
        <v>91496.351861098257</v>
      </c>
      <c r="I6" s="6">
        <v>91496.351861098257</v>
      </c>
      <c r="J6" s="6">
        <v>91496.351861098257</v>
      </c>
      <c r="K6" s="6">
        <v>91496.351861098257</v>
      </c>
      <c r="L6" s="6">
        <v>91496.351861098257</v>
      </c>
      <c r="M6" s="6">
        <v>91496.351861098257</v>
      </c>
      <c r="N6" s="6">
        <v>91496.351861098257</v>
      </c>
      <c r="O6" s="6">
        <v>91496.351861098257</v>
      </c>
      <c r="P6" s="6">
        <v>91496.351861098257</v>
      </c>
      <c r="Q6" s="6">
        <v>91496.351861098257</v>
      </c>
      <c r="R6" s="6"/>
      <c r="S6" s="53">
        <f t="shared" si="0"/>
        <v>1372445.2779164743</v>
      </c>
    </row>
    <row r="7" spans="1:19" x14ac:dyDescent="0.25">
      <c r="A7" s="5" t="s">
        <v>39</v>
      </c>
      <c r="B7" s="5"/>
      <c r="C7" s="6">
        <f>VLOOKUP(A7,'[14]Calculo-Desemb.'!$A$6:$C$55,3,)</f>
        <v>69793.585019895952</v>
      </c>
      <c r="D7" s="6">
        <v>69793.585019895952</v>
      </c>
      <c r="E7" s="6">
        <v>69793.585019895952</v>
      </c>
      <c r="F7" s="6">
        <v>69793.585019895952</v>
      </c>
      <c r="G7" s="6">
        <v>69793.585019895952</v>
      </c>
      <c r="H7" s="6">
        <v>69793.585019895952</v>
      </c>
      <c r="I7" s="6">
        <v>69793.585019895952</v>
      </c>
      <c r="J7" s="6">
        <v>69793.585019895952</v>
      </c>
      <c r="K7" s="6">
        <v>69793.585019895952</v>
      </c>
      <c r="L7" s="6">
        <v>69793.585019895952</v>
      </c>
      <c r="M7" s="6">
        <v>69793.585019895952</v>
      </c>
      <c r="N7" s="6">
        <v>69793.585019895952</v>
      </c>
      <c r="O7" s="6">
        <v>69793.585019895952</v>
      </c>
      <c r="P7" s="6">
        <v>69793.585019895952</v>
      </c>
      <c r="Q7" s="6">
        <v>69793.585019895952</v>
      </c>
      <c r="R7" s="6"/>
      <c r="S7" s="53">
        <f t="shared" si="0"/>
        <v>1046903.775298439</v>
      </c>
    </row>
    <row r="8" spans="1:19" x14ac:dyDescent="0.25">
      <c r="A8" s="5" t="s">
        <v>326</v>
      </c>
      <c r="B8" s="5"/>
      <c r="C8" s="6">
        <f>VLOOKUP(A8,'[14]Calculo-Desemb.'!$A$6:$C$55,3,)</f>
        <v>94552.689136196524</v>
      </c>
      <c r="D8" s="6">
        <v>94552.689136196524</v>
      </c>
      <c r="E8" s="6">
        <v>94552.689136196524</v>
      </c>
      <c r="F8" s="6">
        <v>94552.689136196524</v>
      </c>
      <c r="G8" s="6">
        <v>94552.689136196524</v>
      </c>
      <c r="H8" s="6">
        <v>94552.689136196524</v>
      </c>
      <c r="I8" s="6">
        <v>94552.689136196524</v>
      </c>
      <c r="J8" s="6">
        <v>94552.689136196524</v>
      </c>
      <c r="K8" s="6">
        <v>94552.689136196524</v>
      </c>
      <c r="L8" s="6">
        <v>94552.689136196524</v>
      </c>
      <c r="M8" s="6">
        <v>94552.689136196524</v>
      </c>
      <c r="N8" s="6">
        <v>94552.689136196524</v>
      </c>
      <c r="O8" s="6">
        <v>94552.689136196524</v>
      </c>
      <c r="P8" s="6">
        <v>94552.689136196524</v>
      </c>
      <c r="Q8" s="6">
        <v>94552.689136196524</v>
      </c>
      <c r="R8" s="6"/>
      <c r="S8" s="53">
        <f t="shared" si="0"/>
        <v>1418290.3370429482</v>
      </c>
    </row>
    <row r="9" spans="1:19" x14ac:dyDescent="0.25">
      <c r="A9" s="5" t="s">
        <v>327</v>
      </c>
      <c r="B9" s="5"/>
      <c r="C9" s="6">
        <f>VLOOKUP(A9,'[14]Calculo-Desemb.'!$A$6:$C$55,3,)</f>
        <v>99399.686600531786</v>
      </c>
      <c r="D9" s="6">
        <v>99399.686600531786</v>
      </c>
      <c r="E9" s="6">
        <v>99399.686600531786</v>
      </c>
      <c r="F9" s="6">
        <v>99399.686600531786</v>
      </c>
      <c r="G9" s="6">
        <v>99399.686600531786</v>
      </c>
      <c r="H9" s="6">
        <v>99399.686600531786</v>
      </c>
      <c r="I9" s="6">
        <v>99399.686600531786</v>
      </c>
      <c r="J9" s="6">
        <v>99399.686600531786</v>
      </c>
      <c r="K9" s="6">
        <v>99399.686600531786</v>
      </c>
      <c r="L9" s="6">
        <v>99399.686600531786</v>
      </c>
      <c r="M9" s="6">
        <v>99399.686600531786</v>
      </c>
      <c r="N9" s="6">
        <v>99399.686600531786</v>
      </c>
      <c r="O9" s="6">
        <v>99399.686600531786</v>
      </c>
      <c r="P9" s="6">
        <v>99399.686600531786</v>
      </c>
      <c r="Q9" s="6">
        <v>99399.686600531786</v>
      </c>
      <c r="R9" s="6"/>
      <c r="S9" s="53">
        <f t="shared" si="0"/>
        <v>1490995.2990079764</v>
      </c>
    </row>
    <row r="10" spans="1:19" x14ac:dyDescent="0.25">
      <c r="A10" s="5" t="s">
        <v>328</v>
      </c>
      <c r="B10" s="5"/>
      <c r="C10" s="6">
        <f>VLOOKUP(A10,'[14]Calculo-Desemb.'!$A$6:$C$55,3,)</f>
        <v>98131.699357999998</v>
      </c>
      <c r="D10" s="6">
        <v>98131.699357999998</v>
      </c>
      <c r="E10" s="6">
        <v>98131.699357999998</v>
      </c>
      <c r="F10" s="6">
        <v>98131.699357999998</v>
      </c>
      <c r="G10" s="6">
        <v>98131.699357999998</v>
      </c>
      <c r="H10" s="6">
        <v>98131.699357999998</v>
      </c>
      <c r="I10" s="6">
        <v>98131.699357999998</v>
      </c>
      <c r="J10" s="6">
        <v>98131.699357999998</v>
      </c>
      <c r="K10" s="6">
        <v>98131.699357999998</v>
      </c>
      <c r="L10" s="6">
        <v>98131.699357999998</v>
      </c>
      <c r="M10" s="6">
        <v>98131.699357999998</v>
      </c>
      <c r="N10" s="6">
        <v>98131.699357999998</v>
      </c>
      <c r="O10" s="6">
        <v>98131.699357999998</v>
      </c>
      <c r="P10" s="6">
        <v>98131.699357999998</v>
      </c>
      <c r="Q10" s="6">
        <v>98131.699357999998</v>
      </c>
      <c r="R10" s="6"/>
      <c r="S10" s="53">
        <f t="shared" si="0"/>
        <v>1471975.4903699995</v>
      </c>
    </row>
    <row r="11" spans="1:19" x14ac:dyDescent="0.25">
      <c r="A11" s="5" t="s">
        <v>50</v>
      </c>
      <c r="B11" s="5"/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/>
      <c r="S11" s="53">
        <f t="shared" si="0"/>
        <v>0</v>
      </c>
    </row>
    <row r="12" spans="1:19" x14ac:dyDescent="0.25">
      <c r="A12" s="5" t="s">
        <v>329</v>
      </c>
      <c r="B12" s="5"/>
      <c r="C12" s="6">
        <f>VLOOKUP(A12,'[14]Calculo-Desemb.'!$A$6:$C$55,3,)</f>
        <v>85442.586305999997</v>
      </c>
      <c r="D12" s="6">
        <v>85442.586305999997</v>
      </c>
      <c r="E12" s="6">
        <v>85442.586305999997</v>
      </c>
      <c r="F12" s="6">
        <v>85442.586305999997</v>
      </c>
      <c r="G12" s="6">
        <v>85442.586305999997</v>
      </c>
      <c r="H12" s="6">
        <v>85442.586305999997</v>
      </c>
      <c r="I12" s="6">
        <v>85442.586305999997</v>
      </c>
      <c r="J12" s="6">
        <v>85442.586305999997</v>
      </c>
      <c r="K12" s="6">
        <v>85442.586305999997</v>
      </c>
      <c r="L12" s="6">
        <v>85442.586305999997</v>
      </c>
      <c r="M12" s="6">
        <v>85442.586305999997</v>
      </c>
      <c r="N12" s="6">
        <v>85442.586305999997</v>
      </c>
      <c r="O12" s="6">
        <v>85442.586305999997</v>
      </c>
      <c r="P12" s="6">
        <v>85442.586305999997</v>
      </c>
      <c r="Q12" s="6">
        <v>85442.586305999997</v>
      </c>
      <c r="R12" s="6"/>
      <c r="S12" s="53">
        <f t="shared" si="0"/>
        <v>1281638.7945899998</v>
      </c>
    </row>
    <row r="13" spans="1:19" x14ac:dyDescent="0.25">
      <c r="A13" s="5" t="s">
        <v>330</v>
      </c>
      <c r="B13" s="5"/>
      <c r="C13" s="6">
        <f>VLOOKUP(A13,'[14]Calculo-Desemb.'!$A$6:$C$55,3,)</f>
        <v>125336.68184921387</v>
      </c>
      <c r="D13" s="6">
        <v>125336.68184921387</v>
      </c>
      <c r="E13" s="6">
        <v>125336.68184921387</v>
      </c>
      <c r="F13" s="6">
        <v>125336.68184921387</v>
      </c>
      <c r="G13" s="6">
        <v>125336.68184921387</v>
      </c>
      <c r="H13" s="6">
        <v>125336.68184921387</v>
      </c>
      <c r="I13" s="6">
        <v>125336.68184921387</v>
      </c>
      <c r="J13" s="6">
        <v>125336.68184921387</v>
      </c>
      <c r="K13" s="6">
        <v>125336.68184921387</v>
      </c>
      <c r="L13" s="6">
        <v>125336.68184921387</v>
      </c>
      <c r="M13" s="6">
        <v>125336.68184921387</v>
      </c>
      <c r="N13" s="6">
        <v>125336.68184921387</v>
      </c>
      <c r="O13" s="6">
        <v>125336.68184921387</v>
      </c>
      <c r="P13" s="6">
        <v>125336.68184921387</v>
      </c>
      <c r="Q13" s="6">
        <v>125336.68184921387</v>
      </c>
      <c r="R13" s="6"/>
      <c r="S13" s="53">
        <f t="shared" si="0"/>
        <v>1880050.2277382077</v>
      </c>
    </row>
    <row r="14" spans="1:19" x14ac:dyDescent="0.25">
      <c r="A14" s="5" t="s">
        <v>53</v>
      </c>
      <c r="B14" s="5"/>
      <c r="C14" s="6">
        <f>VLOOKUP(A14,'[14]Calculo-Desemb.'!$A$6:$C$55,3,)</f>
        <v>57756.513688150284</v>
      </c>
      <c r="D14" s="6">
        <v>57756.513688150284</v>
      </c>
      <c r="E14" s="6">
        <v>57756.513688150284</v>
      </c>
      <c r="F14" s="6">
        <v>57756.513688150284</v>
      </c>
      <c r="G14" s="6">
        <v>57756.513688150284</v>
      </c>
      <c r="H14" s="6">
        <v>57756.513688150284</v>
      </c>
      <c r="I14" s="6">
        <v>57756.513688150284</v>
      </c>
      <c r="J14" s="6">
        <v>57756.513688150284</v>
      </c>
      <c r="K14" s="6">
        <v>57756.513688150284</v>
      </c>
      <c r="L14" s="6">
        <v>57756.513688150284</v>
      </c>
      <c r="M14" s="6">
        <v>57756.513688150284</v>
      </c>
      <c r="N14" s="6">
        <v>57756.513688150284</v>
      </c>
      <c r="O14" s="6">
        <v>57756.513688150284</v>
      </c>
      <c r="P14" s="6">
        <v>57756.513688150284</v>
      </c>
      <c r="Q14" s="6">
        <v>57756.513688150284</v>
      </c>
      <c r="R14" s="6"/>
      <c r="S14" s="53">
        <f t="shared" si="0"/>
        <v>866347.70532225445</v>
      </c>
    </row>
    <row r="15" spans="1:19" x14ac:dyDescent="0.25">
      <c r="A15" s="5" t="s">
        <v>56</v>
      </c>
      <c r="B15" s="5"/>
      <c r="C15" s="6">
        <f>VLOOKUP(A15,'[14]Calculo-Desemb.'!$A$6:$C$55,3,)</f>
        <v>85695.837231005775</v>
      </c>
      <c r="D15" s="6">
        <v>85695.837231005775</v>
      </c>
      <c r="E15" s="6">
        <v>85695.837231005775</v>
      </c>
      <c r="F15" s="6">
        <v>85695.837231005775</v>
      </c>
      <c r="G15" s="6">
        <v>85695.837231005775</v>
      </c>
      <c r="H15" s="6">
        <v>85695.837231005775</v>
      </c>
      <c r="I15" s="6">
        <v>85695.837231005775</v>
      </c>
      <c r="J15" s="6">
        <v>85695.837231005775</v>
      </c>
      <c r="K15" s="6">
        <v>85695.837231005775</v>
      </c>
      <c r="L15" s="6">
        <v>85695.837231005775</v>
      </c>
      <c r="M15" s="6">
        <v>85695.837231005775</v>
      </c>
      <c r="N15" s="6">
        <v>85695.837231005775</v>
      </c>
      <c r="O15" s="6">
        <v>85695.837231005775</v>
      </c>
      <c r="P15" s="6">
        <v>85695.837231005775</v>
      </c>
      <c r="Q15" s="6">
        <v>85695.837231005775</v>
      </c>
      <c r="R15" s="3"/>
      <c r="S15" s="53">
        <f t="shared" si="0"/>
        <v>1285437.5584650866</v>
      </c>
    </row>
    <row r="16" spans="1:19" x14ac:dyDescent="0.25">
      <c r="A16" s="5" t="s">
        <v>59</v>
      </c>
      <c r="B16" s="5"/>
      <c r="C16" s="6">
        <f>VLOOKUP(A16,'[14]Calculo-Desemb.'!$A$6:$C$55,3,)</f>
        <v>123738.34220279768</v>
      </c>
      <c r="D16" s="6">
        <v>123738.34220279768</v>
      </c>
      <c r="E16" s="6">
        <v>123738.34220279768</v>
      </c>
      <c r="F16" s="6">
        <v>123738.34220279768</v>
      </c>
      <c r="G16" s="6">
        <v>123738.34220279768</v>
      </c>
      <c r="H16" s="6">
        <v>123738.34220279768</v>
      </c>
      <c r="I16" s="6">
        <v>123738.34220279768</v>
      </c>
      <c r="J16" s="6">
        <v>123738.34220279768</v>
      </c>
      <c r="K16" s="6">
        <v>123738.34220279768</v>
      </c>
      <c r="L16" s="6">
        <v>123738.34220279768</v>
      </c>
      <c r="M16" s="6">
        <v>123738.34220279768</v>
      </c>
      <c r="N16" s="6">
        <v>123738.34220279768</v>
      </c>
      <c r="O16" s="6">
        <v>123738.34220279768</v>
      </c>
      <c r="P16" s="6">
        <v>123738.34220279768</v>
      </c>
      <c r="Q16" s="6">
        <v>123738.34220279768</v>
      </c>
      <c r="R16" s="6"/>
      <c r="S16" s="53">
        <f t="shared" si="0"/>
        <v>1856075.1330419655</v>
      </c>
    </row>
    <row r="17" spans="1:19" x14ac:dyDescent="0.25">
      <c r="A17" s="5" t="s">
        <v>91</v>
      </c>
      <c r="B17" s="5"/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/>
      <c r="S17" s="53">
        <f t="shared" si="0"/>
        <v>0</v>
      </c>
    </row>
    <row r="18" spans="1:19" x14ac:dyDescent="0.25">
      <c r="A18" s="5" t="s">
        <v>74</v>
      </c>
      <c r="B18" s="5"/>
      <c r="C18" s="6">
        <f>VLOOKUP(A18,'[14]Calculo-Desemb.'!$A$6:$C$55,3,)</f>
        <v>127516.02589826589</v>
      </c>
      <c r="D18" s="6">
        <v>127516.02589826589</v>
      </c>
      <c r="E18" s="6">
        <v>127516.02589826589</v>
      </c>
      <c r="F18" s="6">
        <v>127516.02589826589</v>
      </c>
      <c r="G18" s="6">
        <v>127516.02589826589</v>
      </c>
      <c r="H18" s="6">
        <v>127516.02589826589</v>
      </c>
      <c r="I18" s="6">
        <v>127516.02589826589</v>
      </c>
      <c r="J18" s="6">
        <v>127516.02589826589</v>
      </c>
      <c r="K18" s="6">
        <v>127516.02589826589</v>
      </c>
      <c r="L18" s="6">
        <v>127516.02589826589</v>
      </c>
      <c r="M18" s="6">
        <v>127516.02589826589</v>
      </c>
      <c r="N18" s="6">
        <v>127516.02589826589</v>
      </c>
      <c r="O18" s="6">
        <v>127516.02589826589</v>
      </c>
      <c r="P18" s="6">
        <v>127516.02589826589</v>
      </c>
      <c r="Q18" s="6">
        <v>127516.02589826589</v>
      </c>
      <c r="R18" s="6"/>
      <c r="S18" s="53">
        <f t="shared" si="0"/>
        <v>1912740.3884739883</v>
      </c>
    </row>
    <row r="19" spans="1:19" x14ac:dyDescent="0.25">
      <c r="A19" s="5" t="s">
        <v>60</v>
      </c>
      <c r="B19" s="5"/>
      <c r="C19" s="6">
        <f>VLOOKUP(A19,'[14]Calculo-Desemb.'!$A$6:$C$55,3,)</f>
        <v>82919.317682624271</v>
      </c>
      <c r="D19" s="6">
        <v>82919.317682624271</v>
      </c>
      <c r="E19" s="6">
        <v>82919.317682624271</v>
      </c>
      <c r="F19" s="6">
        <v>82919.317682624271</v>
      </c>
      <c r="G19" s="6">
        <v>82919.317682624271</v>
      </c>
      <c r="H19" s="6">
        <v>82919.317682624271</v>
      </c>
      <c r="I19" s="6">
        <v>82919.317682624271</v>
      </c>
      <c r="J19" s="6">
        <v>82919.317682624271</v>
      </c>
      <c r="K19" s="6">
        <v>82919.317682624271</v>
      </c>
      <c r="L19" s="6">
        <v>82919.317682624271</v>
      </c>
      <c r="M19" s="6">
        <v>82919.317682624271</v>
      </c>
      <c r="N19" s="6">
        <v>82919.317682624271</v>
      </c>
      <c r="O19" s="6">
        <v>82919.317682624271</v>
      </c>
      <c r="P19" s="6">
        <v>82919.317682624271</v>
      </c>
      <c r="Q19" s="6">
        <v>82919.317682624271</v>
      </c>
      <c r="R19" s="3"/>
      <c r="S19" s="53">
        <f t="shared" si="0"/>
        <v>1243789.7652393645</v>
      </c>
    </row>
    <row r="20" spans="1:19" x14ac:dyDescent="0.25">
      <c r="A20" s="5" t="s">
        <v>154</v>
      </c>
      <c r="B20" s="5"/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/>
      <c r="S20" s="53">
        <f t="shared" si="0"/>
        <v>0</v>
      </c>
    </row>
    <row r="21" spans="1:19" x14ac:dyDescent="0.25">
      <c r="A21" s="5" t="s">
        <v>61</v>
      </c>
      <c r="B21" s="5"/>
      <c r="C21" s="6">
        <f>VLOOKUP(A21,'[14]Calculo-Desemb.'!$A$6:$C$55,3,)</f>
        <v>80897.641826335253</v>
      </c>
      <c r="D21" s="6">
        <v>80897.641826335253</v>
      </c>
      <c r="E21" s="6">
        <v>80897.641826335253</v>
      </c>
      <c r="F21" s="6">
        <v>80897.641826335253</v>
      </c>
      <c r="G21" s="6">
        <v>80897.641826335253</v>
      </c>
      <c r="H21" s="6">
        <v>80897.641826335253</v>
      </c>
      <c r="I21" s="6">
        <v>80897.641826335253</v>
      </c>
      <c r="J21" s="6">
        <v>80897.641826335253</v>
      </c>
      <c r="K21" s="6">
        <v>80897.641826335253</v>
      </c>
      <c r="L21" s="6">
        <v>80897.641826335253</v>
      </c>
      <c r="M21" s="6">
        <v>80897.641826335253</v>
      </c>
      <c r="N21" s="6">
        <v>80897.641826335253</v>
      </c>
      <c r="O21" s="6">
        <v>80897.641826335253</v>
      </c>
      <c r="P21" s="6">
        <v>80897.641826335253</v>
      </c>
      <c r="Q21" s="6">
        <v>80897.641826335253</v>
      </c>
      <c r="R21" s="6"/>
      <c r="S21" s="53">
        <f t="shared" si="0"/>
        <v>1213464.6273950287</v>
      </c>
    </row>
    <row r="22" spans="1:19" x14ac:dyDescent="0.25">
      <c r="A22" s="5" t="s">
        <v>62</v>
      </c>
      <c r="B22" s="5"/>
      <c r="C22" s="6">
        <f>VLOOKUP(A22,'[14]Calculo-Desemb.'!$A$6:$C$55,3,)</f>
        <v>73705.546571838146</v>
      </c>
      <c r="D22" s="6">
        <v>73705.546571838146</v>
      </c>
      <c r="E22" s="6">
        <v>73705.546571838146</v>
      </c>
      <c r="F22" s="6">
        <v>73705.546571838146</v>
      </c>
      <c r="G22" s="6">
        <v>73705.546571838146</v>
      </c>
      <c r="H22" s="6">
        <v>73705.546571838146</v>
      </c>
      <c r="I22" s="6">
        <v>73705.546571838146</v>
      </c>
      <c r="J22" s="6">
        <v>73705.546571838146</v>
      </c>
      <c r="K22" s="6">
        <v>73705.546571838146</v>
      </c>
      <c r="L22" s="6">
        <v>73705.546571838146</v>
      </c>
      <c r="M22" s="6">
        <v>73705.546571838146</v>
      </c>
      <c r="N22" s="6">
        <v>73705.546571838146</v>
      </c>
      <c r="O22" s="6">
        <v>73705.546571838146</v>
      </c>
      <c r="P22" s="6">
        <v>73705.546571838146</v>
      </c>
      <c r="Q22" s="6">
        <v>73705.546571838146</v>
      </c>
      <c r="R22" s="6"/>
      <c r="S22" s="53">
        <f t="shared" si="0"/>
        <v>1105583.1985775726</v>
      </c>
    </row>
    <row r="23" spans="1:19" x14ac:dyDescent="0.25">
      <c r="A23" s="5" t="s">
        <v>331</v>
      </c>
      <c r="B23" s="5"/>
      <c r="C23" s="6">
        <f>VLOOKUP(A23,'[14]Calculo-Desemb.'!$A$6:$C$55,3,)</f>
        <v>72304.43655116763</v>
      </c>
      <c r="D23" s="6">
        <v>72304.43655116763</v>
      </c>
      <c r="E23" s="6">
        <v>72304.43655116763</v>
      </c>
      <c r="F23" s="6">
        <v>72304.43655116763</v>
      </c>
      <c r="G23" s="6">
        <v>72304.43655116763</v>
      </c>
      <c r="H23" s="6">
        <v>72304.43655116763</v>
      </c>
      <c r="I23" s="6">
        <v>72304.43655116763</v>
      </c>
      <c r="J23" s="6">
        <v>72304.43655116763</v>
      </c>
      <c r="K23" s="6">
        <v>72304.43655116763</v>
      </c>
      <c r="L23" s="6">
        <v>72304.43655116763</v>
      </c>
      <c r="M23" s="6">
        <v>72304.43655116763</v>
      </c>
      <c r="N23" s="6">
        <v>72304.43655116763</v>
      </c>
      <c r="O23" s="6">
        <v>72304.43655116763</v>
      </c>
      <c r="P23" s="6">
        <v>72304.43655116763</v>
      </c>
      <c r="Q23" s="6">
        <v>72304.43655116763</v>
      </c>
      <c r="R23" s="6"/>
      <c r="S23" s="53">
        <f t="shared" si="0"/>
        <v>1084566.5482675144</v>
      </c>
    </row>
    <row r="24" spans="1:19" x14ac:dyDescent="0.25">
      <c r="A24" s="5" t="s">
        <v>332</v>
      </c>
      <c r="B24" s="5"/>
      <c r="C24" s="6">
        <f>VLOOKUP(A24,'[14]Calculo-Desemb.'!$A$6:$C$55,3,)</f>
        <v>87601.13894501733</v>
      </c>
      <c r="D24" s="6">
        <v>87601.13894501733</v>
      </c>
      <c r="E24" s="6">
        <v>87601.13894501733</v>
      </c>
      <c r="F24" s="6">
        <v>87601.13894501733</v>
      </c>
      <c r="G24" s="6">
        <v>87601.13894501733</v>
      </c>
      <c r="H24" s="6">
        <v>87601.13894501733</v>
      </c>
      <c r="I24" s="6">
        <v>87601.13894501733</v>
      </c>
      <c r="J24" s="6">
        <v>87601.13894501733</v>
      </c>
      <c r="K24" s="6">
        <v>87601.13894501733</v>
      </c>
      <c r="L24" s="6">
        <v>87601.13894501733</v>
      </c>
      <c r="M24" s="6">
        <v>87601.13894501733</v>
      </c>
      <c r="N24" s="6">
        <v>87601.13894501733</v>
      </c>
      <c r="O24" s="6">
        <v>87601.13894501733</v>
      </c>
      <c r="P24" s="6">
        <v>87601.13894501733</v>
      </c>
      <c r="Q24" s="6">
        <v>87601.13894501733</v>
      </c>
      <c r="R24" s="6"/>
      <c r="S24" s="53">
        <f t="shared" si="0"/>
        <v>1314017.0841752598</v>
      </c>
    </row>
    <row r="25" spans="1:19" x14ac:dyDescent="0.25">
      <c r="A25" s="5" t="s">
        <v>333</v>
      </c>
      <c r="B25" s="5"/>
      <c r="C25" s="6">
        <f>VLOOKUP(A25,'[14]Calculo-Desemb.'!$A$6:$C$55,3,)</f>
        <v>78522.22322987282</v>
      </c>
      <c r="D25" s="6">
        <v>78522.22322987282</v>
      </c>
      <c r="E25" s="6">
        <v>78522.22322987282</v>
      </c>
      <c r="F25" s="6">
        <v>78522.22322987282</v>
      </c>
      <c r="G25" s="6">
        <v>78522.22322987282</v>
      </c>
      <c r="H25" s="6">
        <v>78522.22322987282</v>
      </c>
      <c r="I25" s="6">
        <v>78522.22322987282</v>
      </c>
      <c r="J25" s="6">
        <v>78522.22322987282</v>
      </c>
      <c r="K25" s="6">
        <v>78522.22322987282</v>
      </c>
      <c r="L25" s="6">
        <v>78522.22322987282</v>
      </c>
      <c r="M25" s="6">
        <v>78522.22322987282</v>
      </c>
      <c r="N25" s="6">
        <v>78522.22322987282</v>
      </c>
      <c r="O25" s="6">
        <v>78522.22322987282</v>
      </c>
      <c r="P25" s="6">
        <v>78522.22322987282</v>
      </c>
      <c r="Q25" s="6">
        <v>78522.22322987282</v>
      </c>
      <c r="R25" s="6"/>
      <c r="S25" s="53">
        <f t="shared" si="0"/>
        <v>1177833.3484480919</v>
      </c>
    </row>
    <row r="26" spans="1:19" x14ac:dyDescent="0.25">
      <c r="A26" s="5" t="s">
        <v>63</v>
      </c>
      <c r="B26" s="5"/>
      <c r="C26" s="6">
        <f>VLOOKUP(A26,'[14]Calculo-Desemb.'!$A$6:$C$55,3,)</f>
        <v>63351.135604982657</v>
      </c>
      <c r="D26" s="6">
        <v>63351.135604982657</v>
      </c>
      <c r="E26" s="6">
        <v>63351.135604982657</v>
      </c>
      <c r="F26" s="6">
        <v>63351.135604982657</v>
      </c>
      <c r="G26" s="6">
        <v>63351.135604982657</v>
      </c>
      <c r="H26" s="6">
        <v>63351.135604982657</v>
      </c>
      <c r="I26" s="6">
        <v>63351.135604982657</v>
      </c>
      <c r="J26" s="6">
        <v>63351.135604982657</v>
      </c>
      <c r="K26" s="6">
        <v>63351.135604982657</v>
      </c>
      <c r="L26" s="6">
        <v>63351.135604982657</v>
      </c>
      <c r="M26" s="6">
        <v>63351.135604982657</v>
      </c>
      <c r="N26" s="6">
        <v>63351.135604982657</v>
      </c>
      <c r="O26" s="6">
        <v>63351.135604982657</v>
      </c>
      <c r="P26" s="6">
        <v>63351.135604982657</v>
      </c>
      <c r="Q26" s="6">
        <v>63351.135604982657</v>
      </c>
      <c r="R26" s="6"/>
      <c r="S26" s="53">
        <f t="shared" si="0"/>
        <v>950267.03407473967</v>
      </c>
    </row>
    <row r="27" spans="1:19" x14ac:dyDescent="0.25">
      <c r="A27" s="5" t="s">
        <v>157</v>
      </c>
      <c r="B27" s="5"/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/>
      <c r="S27" s="53">
        <f t="shared" si="0"/>
        <v>0</v>
      </c>
    </row>
    <row r="28" spans="1:19" x14ac:dyDescent="0.25">
      <c r="A28" s="5" t="s">
        <v>67</v>
      </c>
      <c r="B28" s="5"/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/>
      <c r="S28" s="53">
        <f t="shared" si="0"/>
        <v>0</v>
      </c>
    </row>
    <row r="29" spans="1:19" x14ac:dyDescent="0.25">
      <c r="A29" s="5" t="s">
        <v>128</v>
      </c>
      <c r="B29" s="5"/>
      <c r="C29" s="6">
        <f>VLOOKUP(A29,'[14]Calculo-Desemb.'!$A$6:$C$55,3,)</f>
        <v>92926.050070566474</v>
      </c>
      <c r="D29" s="6">
        <v>92926.050070566474</v>
      </c>
      <c r="E29" s="6">
        <v>92926.050070566474</v>
      </c>
      <c r="F29" s="6">
        <v>92926.050070566474</v>
      </c>
      <c r="G29" s="6">
        <v>92926.050070566474</v>
      </c>
      <c r="H29" s="6">
        <v>92926.050070566474</v>
      </c>
      <c r="I29" s="6">
        <v>92926.050070566474</v>
      </c>
      <c r="J29" s="6">
        <v>92926.050070566474</v>
      </c>
      <c r="K29" s="6">
        <v>92926.050070566474</v>
      </c>
      <c r="L29" s="6">
        <v>92926.050070566474</v>
      </c>
      <c r="M29" s="6">
        <v>92926.050070566474</v>
      </c>
      <c r="N29" s="6">
        <v>92926.050070566474</v>
      </c>
      <c r="O29" s="6">
        <v>92926.050070566474</v>
      </c>
      <c r="P29" s="6">
        <v>92926.050070566474</v>
      </c>
      <c r="Q29" s="6">
        <v>92926.050070566474</v>
      </c>
      <c r="R29" s="3"/>
      <c r="S29" s="53">
        <f t="shared" si="0"/>
        <v>1393890.7510584975</v>
      </c>
    </row>
    <row r="30" spans="1:19" x14ac:dyDescent="0.25">
      <c r="A30" s="5" t="s">
        <v>334</v>
      </c>
      <c r="B30" s="5"/>
      <c r="C30" s="6">
        <f>VLOOKUP(A30,'[14]Calculo-Desemb.'!$A$6:$C$55,3,)</f>
        <v>92461.708579791899</v>
      </c>
      <c r="D30" s="6">
        <v>92461.708579791899</v>
      </c>
      <c r="E30" s="6">
        <v>92461.708579791899</v>
      </c>
      <c r="F30" s="6">
        <v>92461.708579791899</v>
      </c>
      <c r="G30" s="6">
        <v>92461.708579791899</v>
      </c>
      <c r="H30" s="6">
        <v>92461.708579791899</v>
      </c>
      <c r="I30" s="6">
        <v>92461.708579791899</v>
      </c>
      <c r="J30" s="6">
        <v>92461.708579791899</v>
      </c>
      <c r="K30" s="6">
        <v>92461.708579791899</v>
      </c>
      <c r="L30" s="6">
        <v>92461.708579791899</v>
      </c>
      <c r="M30" s="6">
        <v>92461.708579791899</v>
      </c>
      <c r="N30" s="6">
        <v>92461.708579791899</v>
      </c>
      <c r="O30" s="6">
        <v>92461.708579791899</v>
      </c>
      <c r="P30" s="6">
        <v>92461.708579791899</v>
      </c>
      <c r="Q30" s="6">
        <v>92461.708579791899</v>
      </c>
      <c r="R30" s="6"/>
      <c r="S30" s="53">
        <f t="shared" si="0"/>
        <v>1386925.6286968789</v>
      </c>
    </row>
    <row r="31" spans="1:19" x14ac:dyDescent="0.25">
      <c r="A31" s="5" t="s">
        <v>71</v>
      </c>
      <c r="B31" s="5"/>
      <c r="C31" s="6">
        <f>VLOOKUP(A31,'[14]Calculo-Desemb.'!$A$6:$C$55,3,)</f>
        <v>90929.208398485542</v>
      </c>
      <c r="D31" s="6">
        <v>90929.208398485542</v>
      </c>
      <c r="E31" s="6">
        <v>90929.208398485542</v>
      </c>
      <c r="F31" s="6">
        <v>90929.208398485542</v>
      </c>
      <c r="G31" s="6">
        <v>90929.208398485542</v>
      </c>
      <c r="H31" s="6">
        <v>90929.208398485542</v>
      </c>
      <c r="I31" s="6">
        <v>90929.208398485542</v>
      </c>
      <c r="J31" s="6">
        <v>90929.208398485542</v>
      </c>
      <c r="K31" s="6">
        <v>90929.208398485542</v>
      </c>
      <c r="L31" s="6">
        <v>90929.208398485542</v>
      </c>
      <c r="M31" s="6">
        <v>90929.208398485542</v>
      </c>
      <c r="N31" s="6">
        <v>90929.208398485542</v>
      </c>
      <c r="O31" s="6">
        <v>90929.208398485542</v>
      </c>
      <c r="P31" s="6">
        <v>90929.208398485542</v>
      </c>
      <c r="Q31" s="6">
        <v>90929.208398485542</v>
      </c>
      <c r="R31" s="6"/>
      <c r="S31" s="53">
        <f t="shared" si="0"/>
        <v>1363938.1259772831</v>
      </c>
    </row>
    <row r="32" spans="1:19" x14ac:dyDescent="0.25">
      <c r="A32" s="5" t="s">
        <v>335</v>
      </c>
      <c r="B32" s="5"/>
      <c r="C32" s="6">
        <f>VLOOKUP(A32,'[14]Calculo-Desemb.'!$A$6:$C$55,3,)</f>
        <v>86870.263128381499</v>
      </c>
      <c r="D32" s="6">
        <v>86870.263128381499</v>
      </c>
      <c r="E32" s="6">
        <v>86870.263128381499</v>
      </c>
      <c r="F32" s="6">
        <v>86870.263128381499</v>
      </c>
      <c r="G32" s="6">
        <v>86870.263128381499</v>
      </c>
      <c r="H32" s="6">
        <v>86870.263128381499</v>
      </c>
      <c r="I32" s="6">
        <v>86870.263128381499</v>
      </c>
      <c r="J32" s="6">
        <v>86870.263128381499</v>
      </c>
      <c r="K32" s="6">
        <v>86870.263128381499</v>
      </c>
      <c r="L32" s="6">
        <v>86870.263128381499</v>
      </c>
      <c r="M32" s="6">
        <v>86870.263128381499</v>
      </c>
      <c r="N32" s="6">
        <v>86870.263128381499</v>
      </c>
      <c r="O32" s="6">
        <v>86870.263128381499</v>
      </c>
      <c r="P32" s="6">
        <v>86870.263128381499</v>
      </c>
      <c r="Q32" s="6">
        <v>86870.263128381499</v>
      </c>
      <c r="R32" s="6"/>
      <c r="S32" s="53">
        <f t="shared" si="0"/>
        <v>1303053.9469257223</v>
      </c>
    </row>
    <row r="33" spans="1:19" x14ac:dyDescent="0.25">
      <c r="A33" s="5" t="s">
        <v>130</v>
      </c>
      <c r="B33" s="5"/>
      <c r="C33" s="6">
        <f>VLOOKUP(A33,'[14]Calculo-Desemb.'!$A$6:$C$55,3,)</f>
        <v>76970.375486450852</v>
      </c>
      <c r="D33" s="6">
        <v>76970.375486450852</v>
      </c>
      <c r="E33" s="6">
        <v>76970.375486450852</v>
      </c>
      <c r="F33" s="6">
        <v>76970.375486450852</v>
      </c>
      <c r="G33" s="6">
        <v>76970.375486450852</v>
      </c>
      <c r="H33" s="6">
        <v>76970.375486450852</v>
      </c>
      <c r="I33" s="6">
        <v>76970.375486450852</v>
      </c>
      <c r="J33" s="6">
        <v>76970.375486450852</v>
      </c>
      <c r="K33" s="6">
        <v>76970.375486450852</v>
      </c>
      <c r="L33" s="6">
        <v>76970.375486450852</v>
      </c>
      <c r="M33" s="6">
        <v>76970.375486450852</v>
      </c>
      <c r="N33" s="6">
        <v>76970.375486450852</v>
      </c>
      <c r="O33" s="6">
        <v>76970.375486450852</v>
      </c>
      <c r="P33" s="6">
        <v>76970.375486450852</v>
      </c>
      <c r="Q33" s="6">
        <v>76970.375486450852</v>
      </c>
      <c r="R33" s="6"/>
      <c r="S33" s="53">
        <f t="shared" si="0"/>
        <v>1154555.6322967629</v>
      </c>
    </row>
    <row r="34" spans="1:19" x14ac:dyDescent="0.25">
      <c r="A34" s="5" t="s">
        <v>43</v>
      </c>
      <c r="B34" s="5"/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/>
      <c r="S34" s="53">
        <f t="shared" si="0"/>
        <v>0</v>
      </c>
    </row>
    <row r="35" spans="1:19" x14ac:dyDescent="0.25">
      <c r="A35" s="5" t="s">
        <v>336</v>
      </c>
      <c r="B35" s="5"/>
      <c r="C35" s="6">
        <f>VLOOKUP(A35,'[14]Calculo-Desemb.'!$A$6:$C$55,3,)</f>
        <v>98412.09462388439</v>
      </c>
      <c r="D35" s="6">
        <v>98412.09462388439</v>
      </c>
      <c r="E35" s="6">
        <v>98412.09462388439</v>
      </c>
      <c r="F35" s="6">
        <v>98412.09462388439</v>
      </c>
      <c r="G35" s="6">
        <v>98412.09462388439</v>
      </c>
      <c r="H35" s="6">
        <v>98412.09462388439</v>
      </c>
      <c r="I35" s="6">
        <v>98412.09462388439</v>
      </c>
      <c r="J35" s="6">
        <v>98412.09462388439</v>
      </c>
      <c r="K35" s="6">
        <v>98412.09462388439</v>
      </c>
      <c r="L35" s="6">
        <v>98412.09462388439</v>
      </c>
      <c r="M35" s="6">
        <v>98412.09462388439</v>
      </c>
      <c r="N35" s="6">
        <v>98412.09462388439</v>
      </c>
      <c r="O35" s="6">
        <v>98412.09462388439</v>
      </c>
      <c r="P35" s="6">
        <v>98412.09462388439</v>
      </c>
      <c r="Q35" s="6">
        <v>98412.09462388439</v>
      </c>
      <c r="R35" s="6"/>
      <c r="S35" s="53">
        <f t="shared" si="0"/>
        <v>1476181.4193582661</v>
      </c>
    </row>
    <row r="36" spans="1:19" x14ac:dyDescent="0.25">
      <c r="A36" s="5" t="s">
        <v>337</v>
      </c>
      <c r="B36" s="5"/>
      <c r="C36" s="6">
        <f>VLOOKUP(A36,'[14]Calculo-Desemb.'!$A$6:$C$55,3,)</f>
        <v>115872.54750926011</v>
      </c>
      <c r="D36" s="6">
        <v>115872.54750926011</v>
      </c>
      <c r="E36" s="6">
        <v>115872.54750926011</v>
      </c>
      <c r="F36" s="6">
        <v>115872.54750926011</v>
      </c>
      <c r="G36" s="6">
        <v>115872.54750926011</v>
      </c>
      <c r="H36" s="6">
        <v>115872.54750926011</v>
      </c>
      <c r="I36" s="6">
        <v>115872.54750926011</v>
      </c>
      <c r="J36" s="6">
        <v>115872.54750926011</v>
      </c>
      <c r="K36" s="6">
        <v>115872.54750926011</v>
      </c>
      <c r="L36" s="6">
        <v>115872.54750926011</v>
      </c>
      <c r="M36" s="6">
        <v>115872.54750926011</v>
      </c>
      <c r="N36" s="6">
        <v>115872.54750926011</v>
      </c>
      <c r="O36" s="6">
        <v>115872.54750926011</v>
      </c>
      <c r="P36" s="6">
        <v>115872.54750926011</v>
      </c>
      <c r="Q36" s="6">
        <v>115872.54750926011</v>
      </c>
      <c r="R36" s="6"/>
      <c r="S36" s="53">
        <f t="shared" si="0"/>
        <v>1738088.2126389011</v>
      </c>
    </row>
    <row r="37" spans="1:19" x14ac:dyDescent="0.25">
      <c r="A37" s="5" t="s">
        <v>75</v>
      </c>
      <c r="B37" s="5"/>
      <c r="C37" s="6">
        <f>VLOOKUP(A37,'[14]Calculo-Desemb.'!$A$6:$C$55,3,)</f>
        <v>98419.891402647394</v>
      </c>
      <c r="D37" s="6">
        <v>98419.891402647394</v>
      </c>
      <c r="E37" s="6">
        <v>98419.891402647394</v>
      </c>
      <c r="F37" s="6">
        <v>98419.891402647394</v>
      </c>
      <c r="G37" s="6">
        <v>98419.891402647394</v>
      </c>
      <c r="H37" s="6">
        <v>98419.891402647394</v>
      </c>
      <c r="I37" s="6">
        <v>98419.891402647394</v>
      </c>
      <c r="J37" s="6">
        <v>98419.891402647394</v>
      </c>
      <c r="K37" s="6">
        <v>98419.891402647394</v>
      </c>
      <c r="L37" s="6">
        <v>98419.891402647394</v>
      </c>
      <c r="M37" s="6">
        <v>98419.891402647394</v>
      </c>
      <c r="N37" s="6">
        <v>98419.891402647394</v>
      </c>
      <c r="O37" s="6">
        <v>98419.891402647394</v>
      </c>
      <c r="P37" s="6">
        <v>98419.891402647394</v>
      </c>
      <c r="Q37" s="6">
        <v>98419.891402647394</v>
      </c>
      <c r="R37" s="6"/>
      <c r="S37" s="53">
        <f t="shared" si="0"/>
        <v>1476298.3710397107</v>
      </c>
    </row>
    <row r="38" spans="1:19" x14ac:dyDescent="0.25">
      <c r="A38" s="5" t="s">
        <v>338</v>
      </c>
      <c r="B38" s="5"/>
      <c r="C38" s="6">
        <f>VLOOKUP(A38,'[14]Calculo-Desemb.'!$A$6:$C$55,3,)</f>
        <v>121593.07296463582</v>
      </c>
      <c r="D38" s="6">
        <v>121593.07296463582</v>
      </c>
      <c r="E38" s="6">
        <v>121593.07296463582</v>
      </c>
      <c r="F38" s="6">
        <v>121593.07296463582</v>
      </c>
      <c r="G38" s="6">
        <v>121593.07296463582</v>
      </c>
      <c r="H38" s="6">
        <v>121593.07296463582</v>
      </c>
      <c r="I38" s="6">
        <v>121593.07296463582</v>
      </c>
      <c r="J38" s="6">
        <v>121593.07296463582</v>
      </c>
      <c r="K38" s="6">
        <v>121593.07296463582</v>
      </c>
      <c r="L38" s="6">
        <v>121593.07296463582</v>
      </c>
      <c r="M38" s="6">
        <v>121593.07296463582</v>
      </c>
      <c r="N38" s="6">
        <v>121593.07296463582</v>
      </c>
      <c r="O38" s="6">
        <v>121593.07296463582</v>
      </c>
      <c r="P38" s="6">
        <v>121593.07296463582</v>
      </c>
      <c r="Q38" s="6">
        <v>121593.07296463582</v>
      </c>
      <c r="R38" s="6"/>
      <c r="S38" s="53">
        <f t="shared" si="0"/>
        <v>1823896.0944695377</v>
      </c>
    </row>
    <row r="39" spans="1:19" x14ac:dyDescent="0.25">
      <c r="A39" s="5" t="s">
        <v>339</v>
      </c>
      <c r="B39" s="5"/>
      <c r="C39" s="6">
        <f>VLOOKUP(A39,'[14]Calculo-Desemb.'!$A$6:$C$55,3,)</f>
        <v>61818.346654092486</v>
      </c>
      <c r="D39" s="6">
        <v>61818.346654092486</v>
      </c>
      <c r="E39" s="6">
        <v>61818.346654092486</v>
      </c>
      <c r="F39" s="6">
        <v>61818.346654092486</v>
      </c>
      <c r="G39" s="6">
        <v>61818.346654092486</v>
      </c>
      <c r="H39" s="6">
        <v>61818.346654092486</v>
      </c>
      <c r="I39" s="6">
        <v>61818.346654092486</v>
      </c>
      <c r="J39" s="6">
        <v>61818.346654092486</v>
      </c>
      <c r="K39" s="6">
        <v>61818.346654092486</v>
      </c>
      <c r="L39" s="6">
        <v>61818.346654092486</v>
      </c>
      <c r="M39" s="6">
        <v>61818.346654092486</v>
      </c>
      <c r="N39" s="6">
        <v>61818.346654092486</v>
      </c>
      <c r="O39" s="6">
        <v>61818.346654092486</v>
      </c>
      <c r="P39" s="6">
        <v>61818.346654092486</v>
      </c>
      <c r="Q39" s="6">
        <v>61818.346654092486</v>
      </c>
      <c r="R39" s="6"/>
      <c r="S39" s="53">
        <f t="shared" si="0"/>
        <v>927275.19981138688</v>
      </c>
    </row>
    <row r="40" spans="1:19" x14ac:dyDescent="0.25">
      <c r="A40" s="5" t="s">
        <v>76</v>
      </c>
      <c r="B40" s="5"/>
      <c r="C40" s="6">
        <f>VLOOKUP(A40,'[14]Calculo-Desemb.'!$A$6:$C$55,3,)</f>
        <v>74052.93638116763</v>
      </c>
      <c r="D40" s="6">
        <v>74052.93638116763</v>
      </c>
      <c r="E40" s="6">
        <v>74052.93638116763</v>
      </c>
      <c r="F40" s="6">
        <v>74052.93638116763</v>
      </c>
      <c r="G40" s="6">
        <v>74052.93638116763</v>
      </c>
      <c r="H40" s="6">
        <v>74052.93638116763</v>
      </c>
      <c r="I40" s="6">
        <v>74052.93638116763</v>
      </c>
      <c r="J40" s="6">
        <v>74052.93638116763</v>
      </c>
      <c r="K40" s="6">
        <v>74052.93638116763</v>
      </c>
      <c r="L40" s="6">
        <v>74052.93638116763</v>
      </c>
      <c r="M40" s="6">
        <v>74052.93638116763</v>
      </c>
      <c r="N40" s="6">
        <v>74052.93638116763</v>
      </c>
      <c r="O40" s="6">
        <v>74052.93638116763</v>
      </c>
      <c r="P40" s="6">
        <v>74052.93638116763</v>
      </c>
      <c r="Q40" s="6">
        <v>74052.93638116763</v>
      </c>
      <c r="R40" s="3"/>
      <c r="S40" s="53">
        <f t="shared" si="0"/>
        <v>1110794.0457175144</v>
      </c>
    </row>
    <row r="41" spans="1:19" x14ac:dyDescent="0.25">
      <c r="A41" s="5" t="s">
        <v>79</v>
      </c>
      <c r="B41" s="5"/>
      <c r="C41" s="6">
        <f>VLOOKUP(A41,'[14]Calculo-Desemb.'!$A$6:$C$55,3,)</f>
        <v>121748.14223114451</v>
      </c>
      <c r="D41" s="6">
        <v>121748.14223114451</v>
      </c>
      <c r="E41" s="6">
        <v>121748.14223114451</v>
      </c>
      <c r="F41" s="6">
        <v>121748.14223114451</v>
      </c>
      <c r="G41" s="6">
        <v>121748.14223114451</v>
      </c>
      <c r="H41" s="6">
        <v>121748.14223114451</v>
      </c>
      <c r="I41" s="6">
        <v>121748.14223114451</v>
      </c>
      <c r="J41" s="6">
        <v>121748.14223114451</v>
      </c>
      <c r="K41" s="6">
        <v>121748.14223114451</v>
      </c>
      <c r="L41" s="6">
        <v>121748.14223114451</v>
      </c>
      <c r="M41" s="6">
        <v>121748.14223114451</v>
      </c>
      <c r="N41" s="6">
        <v>121748.14223114451</v>
      </c>
      <c r="O41" s="6">
        <v>121748.14223114451</v>
      </c>
      <c r="P41" s="6">
        <v>121748.14223114451</v>
      </c>
      <c r="Q41" s="6">
        <v>121748.14223114451</v>
      </c>
      <c r="R41" s="6"/>
      <c r="S41" s="53">
        <f t="shared" si="0"/>
        <v>1826222.1334671674</v>
      </c>
    </row>
    <row r="42" spans="1:19" x14ac:dyDescent="0.25">
      <c r="A42" s="5" t="s">
        <v>340</v>
      </c>
      <c r="B42" s="5"/>
      <c r="C42" s="6">
        <f>VLOOKUP(A42,'[14]Calculo-Desemb.'!$A$6:$C$55,3,)</f>
        <v>82979.381756057803</v>
      </c>
      <c r="D42" s="6">
        <v>82979.381756057803</v>
      </c>
      <c r="E42" s="6">
        <v>82979.381756057803</v>
      </c>
      <c r="F42" s="6">
        <v>82979.381756057803</v>
      </c>
      <c r="G42" s="6">
        <v>82979.381756057803</v>
      </c>
      <c r="H42" s="6">
        <v>82979.381756057803</v>
      </c>
      <c r="I42" s="6">
        <v>82979.381756057803</v>
      </c>
      <c r="J42" s="6">
        <v>82979.381756057803</v>
      </c>
      <c r="K42" s="6">
        <v>82979.381756057803</v>
      </c>
      <c r="L42" s="6">
        <v>82979.381756057803</v>
      </c>
      <c r="M42" s="6">
        <v>82979.381756057803</v>
      </c>
      <c r="N42" s="6">
        <v>82979.381756057803</v>
      </c>
      <c r="O42" s="6">
        <v>82979.381756057803</v>
      </c>
      <c r="P42" s="6">
        <v>82979.381756057803</v>
      </c>
      <c r="Q42" s="6">
        <v>82979.381756057803</v>
      </c>
      <c r="R42" s="6"/>
      <c r="S42" s="53">
        <f t="shared" si="0"/>
        <v>1244690.7263408671</v>
      </c>
    </row>
    <row r="43" spans="1:19" x14ac:dyDescent="0.25">
      <c r="A43" s="5" t="s">
        <v>341</v>
      </c>
      <c r="B43" s="5"/>
      <c r="C43" s="6">
        <f>VLOOKUP(A43,'[14]Calculo-Desemb.'!$A$6:$C$55,3,)</f>
        <v>76611.146124184976</v>
      </c>
      <c r="D43" s="6">
        <v>76611.146124184976</v>
      </c>
      <c r="E43" s="6">
        <v>76611.146124184976</v>
      </c>
      <c r="F43" s="6">
        <v>76611.146124184976</v>
      </c>
      <c r="G43" s="6">
        <v>76611.146124184976</v>
      </c>
      <c r="H43" s="6">
        <v>76611.146124184976</v>
      </c>
      <c r="I43" s="6">
        <v>76611.146124184976</v>
      </c>
      <c r="J43" s="6">
        <v>76611.146124184976</v>
      </c>
      <c r="K43" s="6">
        <v>76611.146124184976</v>
      </c>
      <c r="L43" s="6">
        <v>76611.146124184976</v>
      </c>
      <c r="M43" s="6">
        <v>76611.146124184976</v>
      </c>
      <c r="N43" s="6">
        <v>76611.146124184976</v>
      </c>
      <c r="O43" s="6">
        <v>76611.146124184976</v>
      </c>
      <c r="P43" s="6">
        <v>76611.146124184976</v>
      </c>
      <c r="Q43" s="6">
        <v>76611.146124184976</v>
      </c>
      <c r="R43" s="6"/>
      <c r="S43" s="53">
        <f t="shared" si="0"/>
        <v>1149167.1918627745</v>
      </c>
    </row>
    <row r="44" spans="1:19" x14ac:dyDescent="0.25">
      <c r="A44" s="52" t="s">
        <v>80</v>
      </c>
      <c r="B44" s="52"/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/>
      <c r="S44" s="53">
        <f t="shared" si="0"/>
        <v>0</v>
      </c>
    </row>
    <row r="45" spans="1:19" x14ac:dyDescent="0.25">
      <c r="A45" s="5" t="s">
        <v>342</v>
      </c>
      <c r="B45" s="5"/>
      <c r="C45" s="6">
        <f>VLOOKUP(A45,'[14]Calculo-Desemb.'!$A$6:$C$55,3,)</f>
        <v>106159.49378805779</v>
      </c>
      <c r="D45" s="6">
        <v>106159.49378805779</v>
      </c>
      <c r="E45" s="6">
        <v>106159.49378805779</v>
      </c>
      <c r="F45" s="6">
        <v>106159.49378805779</v>
      </c>
      <c r="G45" s="6">
        <v>106159.49378805779</v>
      </c>
      <c r="H45" s="6">
        <v>106159.49378805779</v>
      </c>
      <c r="I45" s="6">
        <v>106159.49378805779</v>
      </c>
      <c r="J45" s="6">
        <v>106159.49378805779</v>
      </c>
      <c r="K45" s="6">
        <v>106159.49378805779</v>
      </c>
      <c r="L45" s="6">
        <v>106159.49378805779</v>
      </c>
      <c r="M45" s="6">
        <v>106159.49378805779</v>
      </c>
      <c r="N45" s="6">
        <v>106159.49378805779</v>
      </c>
      <c r="O45" s="6">
        <v>106159.49378805779</v>
      </c>
      <c r="P45" s="6">
        <v>106159.49378805779</v>
      </c>
      <c r="Q45" s="6">
        <v>106159.49378805779</v>
      </c>
      <c r="R45" s="6"/>
      <c r="S45" s="53">
        <f t="shared" si="0"/>
        <v>1592392.4068208665</v>
      </c>
    </row>
    <row r="46" spans="1:19" x14ac:dyDescent="0.25">
      <c r="A46" s="5" t="s">
        <v>343</v>
      </c>
      <c r="B46" s="5"/>
      <c r="C46" s="6">
        <f>VLOOKUP(A46,'[14]Calculo-Desemb.'!$A$6:$C$55,3,)</f>
        <v>96909.626479294791</v>
      </c>
      <c r="D46" s="6">
        <v>96909.626479294791</v>
      </c>
      <c r="E46" s="6">
        <v>96909.626479294791</v>
      </c>
      <c r="F46" s="6">
        <v>96909.626479294791</v>
      </c>
      <c r="G46" s="6">
        <v>96909.626479294791</v>
      </c>
      <c r="H46" s="6">
        <v>96909.626479294791</v>
      </c>
      <c r="I46" s="6">
        <v>96909.626479294791</v>
      </c>
      <c r="J46" s="6">
        <v>96909.626479294791</v>
      </c>
      <c r="K46" s="6">
        <v>96909.626479294791</v>
      </c>
      <c r="L46" s="6">
        <v>96909.626479294791</v>
      </c>
      <c r="M46" s="6">
        <v>96909.626479294791</v>
      </c>
      <c r="N46" s="6">
        <v>96909.626479294791</v>
      </c>
      <c r="O46" s="6">
        <v>96909.626479294791</v>
      </c>
      <c r="P46" s="6">
        <v>96909.626479294791</v>
      </c>
      <c r="Q46" s="6">
        <v>96909.626479294791</v>
      </c>
      <c r="R46" s="6"/>
      <c r="S46" s="53">
        <f t="shared" si="0"/>
        <v>1453644.3971894223</v>
      </c>
    </row>
    <row r="47" spans="1:19" x14ac:dyDescent="0.25">
      <c r="A47" s="5" t="s">
        <v>84</v>
      </c>
      <c r="B47" s="5"/>
      <c r="C47" s="6">
        <f>VLOOKUP(A47,'[14]Calculo-Desemb.'!$A$6:$C$55,3,)</f>
        <v>117984.89701486705</v>
      </c>
      <c r="D47" s="6">
        <v>117984.89701486705</v>
      </c>
      <c r="E47" s="6">
        <v>117984.89701486705</v>
      </c>
      <c r="F47" s="6">
        <v>117984.89701486705</v>
      </c>
      <c r="G47" s="6">
        <v>117984.89701486705</v>
      </c>
      <c r="H47" s="6">
        <v>117984.89701486705</v>
      </c>
      <c r="I47" s="6">
        <v>117984.89701486705</v>
      </c>
      <c r="J47" s="6">
        <v>117984.89701486705</v>
      </c>
      <c r="K47" s="6">
        <v>117984.89701486705</v>
      </c>
      <c r="L47" s="6">
        <v>117984.89701486705</v>
      </c>
      <c r="M47" s="6">
        <v>117984.89701486705</v>
      </c>
      <c r="N47" s="6">
        <v>117984.89701486705</v>
      </c>
      <c r="O47" s="6">
        <v>117984.89701486705</v>
      </c>
      <c r="P47" s="6">
        <v>117984.89701486705</v>
      </c>
      <c r="Q47" s="6">
        <v>117984.89701486705</v>
      </c>
      <c r="R47" s="6"/>
      <c r="S47" s="53">
        <f t="shared" si="0"/>
        <v>1769773.4552230057</v>
      </c>
    </row>
    <row r="48" spans="1:19" x14ac:dyDescent="0.25">
      <c r="A48" s="5" t="s">
        <v>85</v>
      </c>
      <c r="B48" s="5"/>
      <c r="C48" s="6">
        <f>VLOOKUP(A48,'[14]Calculo-Desemb.'!$A$6:$C$55,3,)</f>
        <v>97050.257266612709</v>
      </c>
      <c r="D48" s="6">
        <v>97050.257266612709</v>
      </c>
      <c r="E48" s="6">
        <v>97050.257266612709</v>
      </c>
      <c r="F48" s="6">
        <v>97050.257266612709</v>
      </c>
      <c r="G48" s="6">
        <v>97050.257266612709</v>
      </c>
      <c r="H48" s="6">
        <v>97050.257266612709</v>
      </c>
      <c r="I48" s="6">
        <v>97050.257266612709</v>
      </c>
      <c r="J48" s="6">
        <v>97050.257266612709</v>
      </c>
      <c r="K48" s="6">
        <v>97050.257266612709</v>
      </c>
      <c r="L48" s="6">
        <v>97050.257266612709</v>
      </c>
      <c r="M48" s="6">
        <v>97050.257266612709</v>
      </c>
      <c r="N48" s="6">
        <v>97050.257266612709</v>
      </c>
      <c r="O48" s="6">
        <v>97050.257266612709</v>
      </c>
      <c r="P48" s="6">
        <v>97050.257266612709</v>
      </c>
      <c r="Q48" s="6">
        <v>97050.257266612709</v>
      </c>
      <c r="R48" s="6"/>
      <c r="S48" s="53">
        <f t="shared" si="0"/>
        <v>1455753.8589991906</v>
      </c>
    </row>
    <row r="49" spans="1:19" x14ac:dyDescent="0.25">
      <c r="A49" s="5" t="s">
        <v>88</v>
      </c>
      <c r="B49" s="5"/>
      <c r="C49" s="6">
        <f>VLOOKUP(A49,'[14]Calculo-Desemb.'!$A$6:$C$55,3,)</f>
        <v>66143.537480473984</v>
      </c>
      <c r="D49" s="6">
        <v>66143.537480473984</v>
      </c>
      <c r="E49" s="6">
        <v>66143.537480473984</v>
      </c>
      <c r="F49" s="6">
        <v>66143.537480473984</v>
      </c>
      <c r="G49" s="6">
        <v>66143.537480473984</v>
      </c>
      <c r="H49" s="6">
        <v>66143.537480473984</v>
      </c>
      <c r="I49" s="6">
        <v>66143.537480473984</v>
      </c>
      <c r="J49" s="6">
        <v>66143.537480473984</v>
      </c>
      <c r="K49" s="6">
        <v>66143.537480473984</v>
      </c>
      <c r="L49" s="6">
        <v>66143.537480473984</v>
      </c>
      <c r="M49" s="6">
        <v>66143.537480473984</v>
      </c>
      <c r="N49" s="6">
        <v>66143.537480473984</v>
      </c>
      <c r="O49" s="6">
        <v>66143.537480473984</v>
      </c>
      <c r="P49" s="6">
        <v>66143.537480473984</v>
      </c>
      <c r="Q49" s="6">
        <v>66143.537480473984</v>
      </c>
      <c r="R49" s="6"/>
      <c r="S49" s="53">
        <f t="shared" si="0"/>
        <v>992153.06220710976</v>
      </c>
    </row>
    <row r="50" spans="1:19" x14ac:dyDescent="0.25">
      <c r="A50" s="5" t="s">
        <v>89</v>
      </c>
      <c r="B50" s="5"/>
      <c r="C50" s="6">
        <f>VLOOKUP(A50,'[14]Calculo-Desemb.'!$A$6:$C$55,3,)</f>
        <v>120817.72663209248</v>
      </c>
      <c r="D50" s="6">
        <v>120817.72663209248</v>
      </c>
      <c r="E50" s="6">
        <v>120817.72663209248</v>
      </c>
      <c r="F50" s="6">
        <v>120817.72663209248</v>
      </c>
      <c r="G50" s="6">
        <v>120817.72663209248</v>
      </c>
      <c r="H50" s="6">
        <v>120817.72663209248</v>
      </c>
      <c r="I50" s="6">
        <v>120817.72663209248</v>
      </c>
      <c r="J50" s="6">
        <v>120817.72663209248</v>
      </c>
      <c r="K50" s="6">
        <v>120817.72663209248</v>
      </c>
      <c r="L50" s="6">
        <v>120817.72663209248</v>
      </c>
      <c r="M50" s="6">
        <v>120817.72663209248</v>
      </c>
      <c r="N50" s="6">
        <v>120817.72663209248</v>
      </c>
      <c r="O50" s="6">
        <v>120817.72663209248</v>
      </c>
      <c r="P50" s="6">
        <v>120817.72663209248</v>
      </c>
      <c r="Q50" s="6">
        <v>120817.72663209248</v>
      </c>
      <c r="R50" s="6"/>
      <c r="S50" s="53">
        <f t="shared" si="0"/>
        <v>1812265.8994813866</v>
      </c>
    </row>
    <row r="51" spans="1:19" x14ac:dyDescent="0.25">
      <c r="A51" s="5" t="s">
        <v>344</v>
      </c>
      <c r="B51" s="5"/>
      <c r="C51" s="6">
        <f>VLOOKUP(A51,'[14]Calculo-Desemb.'!$A$6:$C$55,3,)</f>
        <v>76216.109333526008</v>
      </c>
      <c r="D51" s="6">
        <v>76216.109333526008</v>
      </c>
      <c r="E51" s="6">
        <v>76216.109333526008</v>
      </c>
      <c r="F51" s="6">
        <v>76216.109333526008</v>
      </c>
      <c r="G51" s="6">
        <v>76216.109333526008</v>
      </c>
      <c r="H51" s="6">
        <v>76216.109333526008</v>
      </c>
      <c r="I51" s="6">
        <v>76216.109333526008</v>
      </c>
      <c r="J51" s="6">
        <v>76216.109333526008</v>
      </c>
      <c r="K51" s="6">
        <v>76216.109333526008</v>
      </c>
      <c r="L51" s="6">
        <v>76216.109333526008</v>
      </c>
      <c r="M51" s="6">
        <v>76216.109333526008</v>
      </c>
      <c r="N51" s="6">
        <v>76216.109333526008</v>
      </c>
      <c r="O51" s="6">
        <v>76216.109333526008</v>
      </c>
      <c r="P51" s="6">
        <v>76216.109333526008</v>
      </c>
      <c r="Q51" s="6">
        <v>76216.109333526008</v>
      </c>
      <c r="R51" s="6"/>
      <c r="S51" s="53">
        <f t="shared" si="0"/>
        <v>1143241.6400028903</v>
      </c>
    </row>
    <row r="52" spans="1:19" x14ac:dyDescent="0.25">
      <c r="A52" s="5" t="s">
        <v>90</v>
      </c>
      <c r="B52" s="5"/>
      <c r="C52" s="6">
        <f>VLOOKUP(A52,'[14]Calculo-Desemb.'!$A$6:$C$55,3,)</f>
        <v>93205.579027699423</v>
      </c>
      <c r="D52" s="6">
        <v>93205.579027699423</v>
      </c>
      <c r="E52" s="6">
        <v>93205.579027699423</v>
      </c>
      <c r="F52" s="6">
        <v>93205.579027699423</v>
      </c>
      <c r="G52" s="6">
        <v>93205.579027699423</v>
      </c>
      <c r="H52" s="6">
        <v>93205.579027699423</v>
      </c>
      <c r="I52" s="6">
        <v>93205.579027699423</v>
      </c>
      <c r="J52" s="6">
        <v>93205.579027699423</v>
      </c>
      <c r="K52" s="6">
        <v>93205.579027699423</v>
      </c>
      <c r="L52" s="6">
        <v>93205.579027699423</v>
      </c>
      <c r="M52" s="6">
        <v>93205.579027699423</v>
      </c>
      <c r="N52" s="6">
        <v>93205.579027699423</v>
      </c>
      <c r="O52" s="6">
        <v>93205.579027699423</v>
      </c>
      <c r="P52" s="6">
        <v>93205.579027699423</v>
      </c>
      <c r="Q52" s="6">
        <v>93205.579027699423</v>
      </c>
      <c r="R52" s="6"/>
      <c r="S52" s="53">
        <f t="shared" si="0"/>
        <v>1398083.685415491</v>
      </c>
    </row>
    <row r="53" spans="1:19" x14ac:dyDescent="0.25">
      <c r="A53" s="5" t="s">
        <v>321</v>
      </c>
      <c r="B53" s="5"/>
      <c r="C53" s="6">
        <f>VLOOKUP(A53,'[14]Calculo-Desemb.'!$A$6:$C$57,3,)</f>
        <v>71379.218804624281</v>
      </c>
      <c r="D53" s="6">
        <v>71379.218804624281</v>
      </c>
      <c r="E53" s="6">
        <v>71379.218804624281</v>
      </c>
      <c r="F53" s="6">
        <v>71379.218804624281</v>
      </c>
      <c r="G53" s="6">
        <v>71379.218804624281</v>
      </c>
      <c r="H53" s="6">
        <v>71379.218804624281</v>
      </c>
      <c r="I53" s="6">
        <v>71379.218804624281</v>
      </c>
      <c r="J53" s="6">
        <v>71379.218804624281</v>
      </c>
      <c r="K53" s="6">
        <v>71379.218804624281</v>
      </c>
      <c r="L53" s="6">
        <v>71379.218804624281</v>
      </c>
      <c r="M53" s="6">
        <v>71379.218804624281</v>
      </c>
      <c r="N53" s="6">
        <v>71379.218804624281</v>
      </c>
      <c r="O53" s="6">
        <v>71379.218804624281</v>
      </c>
      <c r="P53" s="6">
        <v>71379.218804624281</v>
      </c>
      <c r="Q53" s="6">
        <v>71379.218804624281</v>
      </c>
      <c r="S53" s="53">
        <f t="shared" si="0"/>
        <v>1070688.2820693641</v>
      </c>
    </row>
    <row r="54" spans="1:19" x14ac:dyDescent="0.25">
      <c r="A54" s="5" t="s">
        <v>317</v>
      </c>
      <c r="B54" s="5"/>
      <c r="C54" s="6">
        <f>VLOOKUP(A54,'[14]Calculo-Desemb.'!$A$6:$C$57,3,)</f>
        <v>60943.086045549135</v>
      </c>
      <c r="D54" s="6">
        <v>60943.086045549135</v>
      </c>
      <c r="E54" s="6">
        <v>60943.086045549135</v>
      </c>
      <c r="F54" s="6">
        <v>60943.086045549135</v>
      </c>
      <c r="G54" s="6">
        <v>60943.086045549135</v>
      </c>
      <c r="H54" s="6">
        <v>60943.086045549135</v>
      </c>
      <c r="I54" s="6">
        <v>60943.086045549135</v>
      </c>
      <c r="J54" s="6">
        <v>60943.086045549135</v>
      </c>
      <c r="K54" s="6">
        <v>60943.086045549135</v>
      </c>
      <c r="L54" s="6">
        <v>60943.086045549135</v>
      </c>
      <c r="M54" s="6">
        <v>60943.086045549135</v>
      </c>
      <c r="N54" s="6">
        <v>60943.086045549135</v>
      </c>
      <c r="O54" s="6">
        <v>60943.086045549135</v>
      </c>
      <c r="P54" s="6">
        <v>60943.086045549135</v>
      </c>
      <c r="Q54" s="6">
        <v>60943.086045549135</v>
      </c>
      <c r="S54" s="53">
        <f t="shared" si="0"/>
        <v>914146.29068323702</v>
      </c>
    </row>
    <row r="57" spans="1:19" x14ac:dyDescent="0.25">
      <c r="A57" s="23" t="s">
        <v>146</v>
      </c>
    </row>
  </sheetData>
  <autoFilter ref="A2:S54" xr:uid="{FC9C767F-A41B-4D8C-ADA0-3D4AB05AD318}"/>
  <mergeCells count="1">
    <mergeCell ref="C1:Q1"/>
  </mergeCells>
  <hyperlinks>
    <hyperlink ref="A57" location="Introdução!A1" display="Introdução!A1" xr:uid="{63CC6A65-6B0B-476D-912D-9EA22C30687C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8628B-737F-4A93-A656-742A29F6456A}">
  <sheetPr>
    <tabColor theme="5" tint="-0.249977111117893"/>
  </sheetPr>
  <dimension ref="B2:H25"/>
  <sheetViews>
    <sheetView workbookViewId="0">
      <selection activeCell="B25" sqref="B25"/>
    </sheetView>
  </sheetViews>
  <sheetFormatPr defaultRowHeight="15" x14ac:dyDescent="0.25"/>
  <cols>
    <col min="1" max="1" width="2.28515625" customWidth="1"/>
    <col min="2" max="2" width="9.140625" style="2"/>
    <col min="3" max="3" width="17.42578125" bestFit="1" customWidth="1"/>
    <col min="4" max="4" width="20.140625" bestFit="1" customWidth="1"/>
    <col min="5" max="5" width="17.42578125" bestFit="1" customWidth="1"/>
    <col min="6" max="6" width="21" bestFit="1" customWidth="1"/>
    <col min="7" max="7" width="2.85546875" customWidth="1"/>
    <col min="8" max="8" width="19.85546875" customWidth="1"/>
  </cols>
  <sheetData>
    <row r="2" spans="2:8" x14ac:dyDescent="0.25">
      <c r="C2" s="2" t="s">
        <v>231</v>
      </c>
      <c r="D2" s="2" t="s">
        <v>293</v>
      </c>
      <c r="E2" s="2" t="s">
        <v>294</v>
      </c>
      <c r="F2" s="2" t="s">
        <v>106</v>
      </c>
      <c r="G2" s="2"/>
      <c r="H2" s="11" t="s">
        <v>121</v>
      </c>
    </row>
    <row r="3" spans="2:8" x14ac:dyDescent="0.25">
      <c r="B3" s="10" t="s">
        <v>317</v>
      </c>
      <c r="C3" s="6">
        <v>12259674.119999999</v>
      </c>
      <c r="D3" s="6">
        <v>4465507.8999999994</v>
      </c>
      <c r="E3" s="6">
        <v>9163894.1900000032</v>
      </c>
      <c r="F3" s="6">
        <v>914146.29068323702</v>
      </c>
      <c r="H3" s="7">
        <f>SUM(C3:F3)</f>
        <v>26803222.500683237</v>
      </c>
    </row>
    <row r="4" spans="2:8" x14ac:dyDescent="0.25">
      <c r="B4" s="10" t="s">
        <v>47</v>
      </c>
      <c r="C4" s="6">
        <v>16719790.540000003</v>
      </c>
      <c r="D4" s="6">
        <v>1058488.9200000002</v>
      </c>
      <c r="E4" s="6">
        <v>6674246.5800000019</v>
      </c>
      <c r="F4" s="6">
        <v>1486278.2478563583</v>
      </c>
      <c r="H4" s="7">
        <f t="shared" ref="H4:H22" si="0">SUM(C4:F4)</f>
        <v>25938804.287856366</v>
      </c>
    </row>
    <row r="5" spans="2:8" x14ac:dyDescent="0.25">
      <c r="B5" s="10" t="s">
        <v>36</v>
      </c>
      <c r="C5" s="6">
        <v>14077074.979999999</v>
      </c>
      <c r="D5" s="6">
        <v>892669.5199999999</v>
      </c>
      <c r="E5" s="6">
        <v>6564538.9300000006</v>
      </c>
      <c r="F5" s="6">
        <v>1372445.2779164743</v>
      </c>
      <c r="H5" s="7">
        <f t="shared" si="0"/>
        <v>22906728.707916476</v>
      </c>
    </row>
    <row r="6" spans="2:8" x14ac:dyDescent="0.25">
      <c r="B6" s="10" t="s">
        <v>321</v>
      </c>
      <c r="C6" s="6">
        <v>33553579.110000007</v>
      </c>
      <c r="D6" s="6">
        <v>6931384.0500000007</v>
      </c>
      <c r="E6" s="6">
        <v>32665086.979999993</v>
      </c>
      <c r="F6" s="6">
        <v>1070688.2820693641</v>
      </c>
      <c r="H6" s="7">
        <f t="shared" si="0"/>
        <v>74220738.422069371</v>
      </c>
    </row>
    <row r="7" spans="2:8" x14ac:dyDescent="0.25">
      <c r="B7" s="10" t="s">
        <v>39</v>
      </c>
      <c r="C7" s="6">
        <v>21703910.459999997</v>
      </c>
      <c r="D7" s="6">
        <v>2396397.63</v>
      </c>
      <c r="E7" s="6">
        <v>16542048.549999997</v>
      </c>
      <c r="F7" s="6">
        <v>1046903.775298439</v>
      </c>
      <c r="H7" s="7">
        <f t="shared" si="0"/>
        <v>41689260.415298432</v>
      </c>
    </row>
    <row r="8" spans="2:8" x14ac:dyDescent="0.25">
      <c r="B8" s="10" t="s">
        <v>50</v>
      </c>
      <c r="C8" s="6">
        <v>11267956.42</v>
      </c>
      <c r="D8" s="6">
        <v>997265.79999999993</v>
      </c>
      <c r="E8" s="6">
        <v>7939909</v>
      </c>
      <c r="F8" s="6" t="s">
        <v>97</v>
      </c>
      <c r="H8" s="7">
        <f t="shared" si="0"/>
        <v>20205131.219999999</v>
      </c>
    </row>
    <row r="9" spans="2:8" x14ac:dyDescent="0.25">
      <c r="B9" s="10" t="s">
        <v>53</v>
      </c>
      <c r="C9" s="6">
        <v>18764187.679999996</v>
      </c>
      <c r="D9" s="6">
        <v>791055.94</v>
      </c>
      <c r="E9" s="6">
        <v>6867047.9000000004</v>
      </c>
      <c r="F9" s="6">
        <v>866347.70532225445</v>
      </c>
      <c r="H9" s="7">
        <f t="shared" si="0"/>
        <v>27288639.22532225</v>
      </c>
    </row>
    <row r="10" spans="2:8" x14ac:dyDescent="0.25">
      <c r="B10" s="10" t="s">
        <v>56</v>
      </c>
      <c r="C10" s="6">
        <v>30860568.479999993</v>
      </c>
      <c r="D10" s="6">
        <v>2209362.66</v>
      </c>
      <c r="E10" s="6">
        <v>15145637.500000004</v>
      </c>
      <c r="F10" s="6">
        <v>1285437.5584650866</v>
      </c>
      <c r="H10" s="7">
        <f t="shared" si="0"/>
        <v>49501006.198465087</v>
      </c>
    </row>
    <row r="11" spans="2:8" x14ac:dyDescent="0.25">
      <c r="B11" s="10" t="s">
        <v>91</v>
      </c>
      <c r="C11" s="6">
        <v>11072642.67</v>
      </c>
      <c r="D11" s="6">
        <v>88279.56</v>
      </c>
      <c r="E11" s="6">
        <v>4290833.3499999996</v>
      </c>
      <c r="F11" s="6" t="s">
        <v>97</v>
      </c>
      <c r="H11" s="7">
        <f t="shared" si="0"/>
        <v>15451755.58</v>
      </c>
    </row>
    <row r="12" spans="2:8" x14ac:dyDescent="0.25">
      <c r="B12" s="10" t="s">
        <v>154</v>
      </c>
      <c r="C12" s="6">
        <v>11189571.269999998</v>
      </c>
      <c r="D12" s="6">
        <v>267960.36000000004</v>
      </c>
      <c r="E12" s="6">
        <v>4172031.3099999996</v>
      </c>
      <c r="F12" s="6" t="s">
        <v>97</v>
      </c>
      <c r="H12" s="7">
        <f t="shared" si="0"/>
        <v>15629562.939999998</v>
      </c>
    </row>
    <row r="13" spans="2:8" x14ac:dyDescent="0.25">
      <c r="B13" s="10" t="s">
        <v>63</v>
      </c>
      <c r="C13" s="6">
        <v>12537893.66</v>
      </c>
      <c r="D13" s="6">
        <v>1005249.5599999999</v>
      </c>
      <c r="E13" s="6">
        <v>6867047.9000000004</v>
      </c>
      <c r="F13" s="6">
        <v>950267.03407473967</v>
      </c>
      <c r="H13" s="7">
        <f t="shared" si="0"/>
        <v>21360458.15407474</v>
      </c>
    </row>
    <row r="14" spans="2:8" x14ac:dyDescent="0.25">
      <c r="B14" s="10" t="s">
        <v>157</v>
      </c>
      <c r="C14" s="6">
        <v>11712960.27</v>
      </c>
      <c r="D14" s="6">
        <v>508785.51000000007</v>
      </c>
      <c r="E14" s="6">
        <v>3414036.6900000004</v>
      </c>
      <c r="F14" s="6" t="s">
        <v>97</v>
      </c>
      <c r="H14" s="7">
        <f t="shared" si="0"/>
        <v>15635782.469999999</v>
      </c>
    </row>
    <row r="15" spans="2:8" x14ac:dyDescent="0.25">
      <c r="B15" s="10" t="s">
        <v>67</v>
      </c>
      <c r="C15" s="6">
        <v>11991338.02</v>
      </c>
      <c r="D15" s="6">
        <v>755503.68</v>
      </c>
      <c r="E15" s="6">
        <v>6794684.1299999999</v>
      </c>
      <c r="F15" s="6" t="s">
        <v>97</v>
      </c>
      <c r="H15" s="7">
        <f t="shared" si="0"/>
        <v>19541525.829999998</v>
      </c>
    </row>
    <row r="16" spans="2:8" x14ac:dyDescent="0.25">
      <c r="B16" s="10" t="s">
        <v>128</v>
      </c>
      <c r="C16" s="6">
        <v>14077074.979999999</v>
      </c>
      <c r="D16" s="6">
        <v>892669.5199999999</v>
      </c>
      <c r="E16" s="6">
        <v>6564538.9300000006</v>
      </c>
      <c r="F16" s="6">
        <v>1393890.7510584975</v>
      </c>
      <c r="H16" s="7">
        <f t="shared" si="0"/>
        <v>22928174.181058496</v>
      </c>
    </row>
    <row r="17" spans="2:8" x14ac:dyDescent="0.25">
      <c r="B17" s="10" t="s">
        <v>71</v>
      </c>
      <c r="C17" s="6">
        <v>24925843.740000002</v>
      </c>
      <c r="D17" s="6">
        <v>1391791.5</v>
      </c>
      <c r="E17" s="6">
        <v>7225354.9099999992</v>
      </c>
      <c r="F17" s="6">
        <v>1363938.1259772831</v>
      </c>
      <c r="H17" s="7">
        <f t="shared" si="0"/>
        <v>34906928.275977284</v>
      </c>
    </row>
    <row r="18" spans="2:8" x14ac:dyDescent="0.25">
      <c r="B18" s="10" t="s">
        <v>130</v>
      </c>
      <c r="C18" s="6">
        <v>12840172.479999999</v>
      </c>
      <c r="D18" s="6">
        <v>1926177.5999999999</v>
      </c>
      <c r="E18" s="6">
        <v>6625429.4400000013</v>
      </c>
      <c r="F18" s="6">
        <v>1154555.6322967629</v>
      </c>
      <c r="H18" s="7">
        <f t="shared" si="0"/>
        <v>22546335.152296763</v>
      </c>
    </row>
    <row r="19" spans="2:8" x14ac:dyDescent="0.25">
      <c r="B19" s="10" t="s">
        <v>43</v>
      </c>
      <c r="C19" s="6">
        <v>20858110.289999999</v>
      </c>
      <c r="D19" s="6">
        <v>1546859.3399999999</v>
      </c>
      <c r="E19" s="6">
        <v>6550544.5000000019</v>
      </c>
      <c r="F19" s="6" t="s">
        <v>97</v>
      </c>
      <c r="H19" s="7">
        <f t="shared" si="0"/>
        <v>28955514.130000003</v>
      </c>
    </row>
    <row r="20" spans="2:8" x14ac:dyDescent="0.25">
      <c r="B20" s="10" t="s">
        <v>76</v>
      </c>
      <c r="C20" s="6">
        <v>19236973.539999999</v>
      </c>
      <c r="D20" s="6">
        <v>1382695.88</v>
      </c>
      <c r="E20" s="6">
        <v>8544419.209999999</v>
      </c>
      <c r="F20" s="6">
        <v>1110794.0457175144</v>
      </c>
      <c r="H20" s="7">
        <f t="shared" si="0"/>
        <v>30274882.67571751</v>
      </c>
    </row>
    <row r="21" spans="2:8" x14ac:dyDescent="0.25">
      <c r="B21" s="10" t="s">
        <v>80</v>
      </c>
      <c r="C21" s="6">
        <v>17196397.800000001</v>
      </c>
      <c r="D21" s="6">
        <v>1213138.9200000002</v>
      </c>
      <c r="E21" s="6">
        <v>8349518.3099999996</v>
      </c>
      <c r="F21" s="6" t="s">
        <v>97</v>
      </c>
      <c r="H21" s="7">
        <f t="shared" si="0"/>
        <v>26759055.030000001</v>
      </c>
    </row>
    <row r="22" spans="2:8" x14ac:dyDescent="0.25">
      <c r="B22" s="10" t="s">
        <v>85</v>
      </c>
      <c r="C22" s="6">
        <v>16738378.439999999</v>
      </c>
      <c r="D22" s="6">
        <v>1074773.3600000001</v>
      </c>
      <c r="E22" s="6">
        <v>6674246.5800000019</v>
      </c>
      <c r="F22" s="6">
        <v>1455753.8589991906</v>
      </c>
      <c r="H22" s="7">
        <f t="shared" si="0"/>
        <v>25943152.238999192</v>
      </c>
    </row>
    <row r="25" spans="2:8" x14ac:dyDescent="0.25">
      <c r="B25" s="23" t="s">
        <v>146</v>
      </c>
    </row>
  </sheetData>
  <hyperlinks>
    <hyperlink ref="B25" location="Introdução!A1" display="Introdução!A1" xr:uid="{6AE4D279-1A58-480D-941D-850D1C521EAA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62930-FAD5-4624-9DA6-4A2BD7ABD2DB}">
  <sheetPr>
    <tabColor rgb="FF92D050"/>
  </sheetPr>
  <dimension ref="A1:AD25"/>
  <sheetViews>
    <sheetView workbookViewId="0">
      <pane xSplit="8" ySplit="2" topLeftCell="I3" activePane="bottomRight" state="frozen"/>
      <selection pane="topRight" activeCell="J1" sqref="J1"/>
      <selection pane="bottomLeft" activeCell="A3" sqref="A3"/>
      <selection pane="bottomRight" activeCell="C22" sqref="C22"/>
    </sheetView>
  </sheetViews>
  <sheetFormatPr defaultRowHeight="15" x14ac:dyDescent="0.25"/>
  <cols>
    <col min="1" max="1" width="7.7109375" bestFit="1" customWidth="1"/>
    <col min="2" max="2" width="18" customWidth="1"/>
    <col min="3" max="3" width="16.140625" customWidth="1"/>
    <col min="4" max="4" width="24.140625" bestFit="1" customWidth="1"/>
    <col min="5" max="5" width="5.42578125" bestFit="1" customWidth="1"/>
    <col min="6" max="6" width="34" bestFit="1" customWidth="1"/>
    <col min="7" max="7" width="21.28515625" bestFit="1" customWidth="1"/>
    <col min="8" max="8" width="20" bestFit="1" customWidth="1"/>
    <col min="9" max="9" width="14.42578125" customWidth="1"/>
    <col min="10" max="10" width="10.140625" bestFit="1" customWidth="1"/>
    <col min="11" max="11" width="15.42578125" bestFit="1" customWidth="1"/>
    <col min="12" max="12" width="15.7109375" bestFit="1" customWidth="1"/>
    <col min="13" max="13" width="18.140625" bestFit="1" customWidth="1"/>
    <col min="14" max="14" width="12.85546875" bestFit="1" customWidth="1"/>
    <col min="15" max="15" width="21.7109375" bestFit="1" customWidth="1"/>
    <col min="16" max="16" width="21.42578125" bestFit="1" customWidth="1"/>
    <col min="17" max="17" width="26" bestFit="1" customWidth="1"/>
    <col min="18" max="18" width="40.28515625" bestFit="1" customWidth="1"/>
    <col min="19" max="19" width="50" bestFit="1" customWidth="1"/>
    <col min="20" max="20" width="30.7109375" bestFit="1" customWidth="1"/>
    <col min="21" max="21" width="37" bestFit="1" customWidth="1"/>
    <col min="22" max="22" width="35.7109375" bestFit="1" customWidth="1"/>
    <col min="23" max="23" width="39.7109375" bestFit="1" customWidth="1"/>
    <col min="24" max="24" width="29.85546875" bestFit="1" customWidth="1"/>
    <col min="25" max="25" width="25.42578125" bestFit="1" customWidth="1"/>
    <col min="26" max="26" width="39.28515625" bestFit="1" customWidth="1"/>
    <col min="27" max="27" width="47.42578125" customWidth="1"/>
    <col min="28" max="28" width="61.85546875" customWidth="1"/>
    <col min="29" max="30" width="255.7109375" customWidth="1"/>
    <col min="31" max="36" width="9.140625" customWidth="1"/>
  </cols>
  <sheetData>
    <row r="1" spans="1:30" x14ac:dyDescent="0.25">
      <c r="A1" s="33"/>
      <c r="B1" s="33"/>
      <c r="C1" s="33"/>
      <c r="D1" s="33"/>
      <c r="E1" s="33"/>
      <c r="F1" s="33"/>
      <c r="G1" s="33"/>
      <c r="H1" s="34" t="s">
        <v>233</v>
      </c>
      <c r="I1" s="36" t="s">
        <v>234</v>
      </c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7"/>
      <c r="AB1" s="37"/>
      <c r="AC1" s="38"/>
      <c r="AD1" s="38"/>
    </row>
    <row r="2" spans="1:30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3" t="s">
        <v>163</v>
      </c>
      <c r="H2" s="39" t="s">
        <v>20</v>
      </c>
      <c r="I2" s="35" t="s">
        <v>235</v>
      </c>
      <c r="J2" s="35" t="s">
        <v>236</v>
      </c>
      <c r="K2" s="35" t="s">
        <v>237</v>
      </c>
      <c r="L2" s="35" t="s">
        <v>117</v>
      </c>
      <c r="M2" s="35" t="s">
        <v>116</v>
      </c>
      <c r="N2" s="35" t="s">
        <v>238</v>
      </c>
      <c r="O2" s="35" t="s">
        <v>239</v>
      </c>
      <c r="P2" s="35" t="s">
        <v>240</v>
      </c>
      <c r="Q2" s="35" t="s">
        <v>241</v>
      </c>
      <c r="R2" s="35" t="s">
        <v>242</v>
      </c>
      <c r="S2" s="35" t="s">
        <v>243</v>
      </c>
      <c r="T2" s="35" t="s">
        <v>244</v>
      </c>
      <c r="U2" s="35" t="s">
        <v>118</v>
      </c>
      <c r="V2" s="35" t="s">
        <v>245</v>
      </c>
      <c r="W2" s="35" t="s">
        <v>246</v>
      </c>
      <c r="X2" s="35" t="s">
        <v>247</v>
      </c>
      <c r="Y2" s="35" t="s">
        <v>248</v>
      </c>
      <c r="Z2" s="35" t="s">
        <v>20</v>
      </c>
      <c r="AA2" s="37" t="s">
        <v>172</v>
      </c>
      <c r="AB2" s="37" t="s">
        <v>173</v>
      </c>
      <c r="AC2" s="40" t="s">
        <v>174</v>
      </c>
      <c r="AD2" s="40" t="s">
        <v>175</v>
      </c>
    </row>
    <row r="3" spans="1:30" s="9" customFormat="1" x14ac:dyDescent="0.25">
      <c r="A3" t="s">
        <v>47</v>
      </c>
      <c r="B3" t="s">
        <v>48</v>
      </c>
      <c r="C3" t="s">
        <v>176</v>
      </c>
      <c r="D3" t="s">
        <v>48</v>
      </c>
      <c r="E3" t="s">
        <v>30</v>
      </c>
      <c r="F3" t="s">
        <v>177</v>
      </c>
      <c r="G3">
        <v>3</v>
      </c>
      <c r="H3" s="41">
        <f t="shared" ref="H3:H22" si="0">SUM(I3:R3)</f>
        <v>999443.67</v>
      </c>
      <c r="I3" s="42">
        <v>0</v>
      </c>
      <c r="J3" s="42">
        <v>0</v>
      </c>
      <c r="K3" s="42">
        <v>0</v>
      </c>
      <c r="L3" s="42">
        <v>20317.830000000002</v>
      </c>
      <c r="M3" s="42">
        <v>104125.84</v>
      </c>
      <c r="N3" s="42">
        <v>0</v>
      </c>
      <c r="O3" s="42">
        <v>0</v>
      </c>
      <c r="P3" s="42">
        <v>0</v>
      </c>
      <c r="Q3" s="42">
        <v>875000</v>
      </c>
      <c r="R3" s="54">
        <v>0</v>
      </c>
      <c r="S3" s="55">
        <v>0</v>
      </c>
      <c r="T3" s="56">
        <v>0</v>
      </c>
      <c r="U3" s="55">
        <v>0</v>
      </c>
      <c r="V3" s="55">
        <v>0</v>
      </c>
      <c r="W3" s="55">
        <v>0</v>
      </c>
      <c r="X3" s="55">
        <v>0</v>
      </c>
      <c r="Y3" s="55">
        <v>0</v>
      </c>
      <c r="Z3" s="55">
        <v>999443.67</v>
      </c>
      <c r="AA3" s="45">
        <v>4275</v>
      </c>
      <c r="AB3" s="43" t="s">
        <v>97</v>
      </c>
      <c r="AC3" s="9" t="s">
        <v>180</v>
      </c>
      <c r="AD3" s="9" t="s">
        <v>181</v>
      </c>
    </row>
    <row r="4" spans="1:30" x14ac:dyDescent="0.25">
      <c r="A4" t="s">
        <v>36</v>
      </c>
      <c r="B4" t="s">
        <v>37</v>
      </c>
      <c r="C4" t="s">
        <v>182</v>
      </c>
      <c r="D4" t="s">
        <v>37</v>
      </c>
      <c r="E4" t="s">
        <v>24</v>
      </c>
      <c r="F4" t="s">
        <v>177</v>
      </c>
      <c r="G4">
        <v>3</v>
      </c>
      <c r="H4" s="41">
        <f t="shared" si="0"/>
        <v>875000</v>
      </c>
      <c r="I4" s="42">
        <v>0</v>
      </c>
      <c r="J4" s="42">
        <v>0</v>
      </c>
      <c r="K4" s="42">
        <v>0</v>
      </c>
      <c r="L4" s="42">
        <v>0</v>
      </c>
      <c r="M4" s="42">
        <v>0</v>
      </c>
      <c r="N4" s="42">
        <v>0</v>
      </c>
      <c r="O4" s="42">
        <v>0</v>
      </c>
      <c r="P4" s="42">
        <v>0</v>
      </c>
      <c r="Q4" s="42">
        <v>875000</v>
      </c>
      <c r="R4" s="54">
        <v>0</v>
      </c>
      <c r="S4" s="55">
        <v>0</v>
      </c>
      <c r="T4" s="56">
        <v>0</v>
      </c>
      <c r="U4" s="55">
        <v>0</v>
      </c>
      <c r="V4" s="55">
        <v>0</v>
      </c>
      <c r="W4" s="55">
        <v>0</v>
      </c>
      <c r="X4" s="55">
        <v>0</v>
      </c>
      <c r="Y4" s="55">
        <v>0</v>
      </c>
      <c r="Z4" s="55">
        <v>875000</v>
      </c>
      <c r="AA4" s="45">
        <v>3385</v>
      </c>
      <c r="AB4" s="43" t="s">
        <v>97</v>
      </c>
      <c r="AC4" t="s">
        <v>184</v>
      </c>
      <c r="AD4" t="s">
        <v>185</v>
      </c>
    </row>
    <row r="5" spans="1:30" ht="15" customHeight="1" x14ac:dyDescent="0.25">
      <c r="A5" t="s">
        <v>50</v>
      </c>
      <c r="B5" t="s">
        <v>51</v>
      </c>
      <c r="C5" t="s">
        <v>186</v>
      </c>
      <c r="D5" t="s">
        <v>51</v>
      </c>
      <c r="E5" t="s">
        <v>35</v>
      </c>
      <c r="F5" t="s">
        <v>177</v>
      </c>
      <c r="G5">
        <v>1</v>
      </c>
      <c r="H5" s="41">
        <f t="shared" si="0"/>
        <v>999443.67</v>
      </c>
      <c r="I5" s="42">
        <v>0</v>
      </c>
      <c r="J5" s="42">
        <v>0</v>
      </c>
      <c r="K5" s="42">
        <v>0</v>
      </c>
      <c r="L5" s="42">
        <v>20317.830000000002</v>
      </c>
      <c r="M5" s="42">
        <v>104125.84</v>
      </c>
      <c r="N5" s="42">
        <v>0</v>
      </c>
      <c r="O5" s="42">
        <v>0</v>
      </c>
      <c r="P5" s="42">
        <v>0</v>
      </c>
      <c r="Q5" s="42">
        <v>875000</v>
      </c>
      <c r="R5" s="54">
        <v>0</v>
      </c>
      <c r="S5" s="55">
        <v>0</v>
      </c>
      <c r="T5" s="56">
        <v>0</v>
      </c>
      <c r="U5" s="55">
        <v>0</v>
      </c>
      <c r="V5" s="55">
        <v>0</v>
      </c>
      <c r="W5" s="55">
        <v>0</v>
      </c>
      <c r="X5" s="55">
        <v>0</v>
      </c>
      <c r="Y5" s="55">
        <v>0</v>
      </c>
      <c r="Z5" s="55">
        <v>999443.67</v>
      </c>
      <c r="AA5" s="45">
        <v>1350</v>
      </c>
      <c r="AB5" s="43" t="s">
        <v>97</v>
      </c>
      <c r="AC5" t="s">
        <v>188</v>
      </c>
      <c r="AD5" t="s">
        <v>189</v>
      </c>
    </row>
    <row r="6" spans="1:30" x14ac:dyDescent="0.25">
      <c r="A6" t="s">
        <v>56</v>
      </c>
      <c r="B6" t="s">
        <v>57</v>
      </c>
      <c r="C6" t="s">
        <v>190</v>
      </c>
      <c r="D6" t="s">
        <v>57</v>
      </c>
      <c r="E6" t="s">
        <v>25</v>
      </c>
      <c r="F6" t="s">
        <v>177</v>
      </c>
      <c r="G6">
        <v>3</v>
      </c>
      <c r="H6" s="41">
        <f t="shared" si="0"/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54">
        <v>0</v>
      </c>
      <c r="S6" s="55">
        <v>0</v>
      </c>
      <c r="T6" s="56">
        <v>0</v>
      </c>
      <c r="U6" s="55">
        <v>0</v>
      </c>
      <c r="V6" s="55">
        <v>0</v>
      </c>
      <c r="W6" s="55">
        <v>0</v>
      </c>
      <c r="X6" s="55">
        <v>0</v>
      </c>
      <c r="Y6" s="55">
        <v>0</v>
      </c>
      <c r="Z6" s="55">
        <v>0</v>
      </c>
      <c r="AA6" s="45">
        <v>4365</v>
      </c>
      <c r="AB6" s="43" t="s">
        <v>97</v>
      </c>
      <c r="AC6" t="s">
        <v>191</v>
      </c>
      <c r="AD6" t="s">
        <v>192</v>
      </c>
    </row>
    <row r="7" spans="1:30" x14ac:dyDescent="0.25">
      <c r="A7" t="s">
        <v>154</v>
      </c>
      <c r="B7" t="s">
        <v>155</v>
      </c>
      <c r="C7" t="s">
        <v>193</v>
      </c>
      <c r="D7" t="s">
        <v>155</v>
      </c>
      <c r="E7" t="s">
        <v>31</v>
      </c>
      <c r="F7" t="s">
        <v>177</v>
      </c>
      <c r="G7">
        <v>0</v>
      </c>
      <c r="H7" s="41">
        <f t="shared" si="0"/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54">
        <v>0</v>
      </c>
      <c r="S7" s="55">
        <v>0</v>
      </c>
      <c r="T7" s="56">
        <v>0</v>
      </c>
      <c r="U7" s="55">
        <v>0</v>
      </c>
      <c r="V7" s="55">
        <v>0</v>
      </c>
      <c r="W7" s="55">
        <v>0</v>
      </c>
      <c r="X7" s="55">
        <v>0</v>
      </c>
      <c r="Y7" s="55">
        <v>0</v>
      </c>
      <c r="Z7" s="55">
        <v>0</v>
      </c>
      <c r="AA7" s="45">
        <v>810</v>
      </c>
      <c r="AB7" s="43" t="s">
        <v>97</v>
      </c>
      <c r="AC7" t="s">
        <v>195</v>
      </c>
      <c r="AD7" t="s">
        <v>196</v>
      </c>
    </row>
    <row r="8" spans="1:30" x14ac:dyDescent="0.25">
      <c r="A8" t="s">
        <v>71</v>
      </c>
      <c r="B8" t="s">
        <v>72</v>
      </c>
      <c r="C8" t="s">
        <v>197</v>
      </c>
      <c r="D8" t="s">
        <v>72</v>
      </c>
      <c r="E8" t="s">
        <v>25</v>
      </c>
      <c r="F8" t="s">
        <v>177</v>
      </c>
      <c r="G8">
        <v>3</v>
      </c>
      <c r="H8" s="41">
        <f t="shared" si="0"/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54">
        <v>0</v>
      </c>
      <c r="S8" s="55">
        <v>0</v>
      </c>
      <c r="T8" s="56">
        <v>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45">
        <v>925</v>
      </c>
      <c r="AB8" s="46" t="s">
        <v>97</v>
      </c>
      <c r="AC8" t="s">
        <v>199</v>
      </c>
      <c r="AD8" t="s">
        <v>200</v>
      </c>
    </row>
    <row r="9" spans="1:30" x14ac:dyDescent="0.25">
      <c r="A9" t="s">
        <v>76</v>
      </c>
      <c r="B9" t="s">
        <v>77</v>
      </c>
      <c r="C9" t="s">
        <v>201</v>
      </c>
      <c r="D9" t="s">
        <v>77</v>
      </c>
      <c r="E9" t="s">
        <v>27</v>
      </c>
      <c r="F9" t="s">
        <v>177</v>
      </c>
      <c r="G9">
        <v>3</v>
      </c>
      <c r="H9" s="41">
        <f t="shared" si="0"/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54">
        <v>0</v>
      </c>
      <c r="S9" s="55">
        <v>0</v>
      </c>
      <c r="T9" s="56">
        <v>0</v>
      </c>
      <c r="U9" s="55">
        <v>0</v>
      </c>
      <c r="V9" s="55">
        <v>0</v>
      </c>
      <c r="W9" s="55">
        <v>0</v>
      </c>
      <c r="X9" s="55">
        <v>0</v>
      </c>
      <c r="Y9" s="55">
        <v>0</v>
      </c>
      <c r="Z9" s="55">
        <v>0</v>
      </c>
      <c r="AA9" s="45">
        <v>3575</v>
      </c>
      <c r="AB9" s="46" t="s">
        <v>97</v>
      </c>
      <c r="AC9" t="s">
        <v>199</v>
      </c>
      <c r="AD9" t="s">
        <v>202</v>
      </c>
    </row>
    <row r="10" spans="1:30" x14ac:dyDescent="0.25">
      <c r="A10" t="s">
        <v>39</v>
      </c>
      <c r="B10" t="s">
        <v>40</v>
      </c>
      <c r="C10" t="s">
        <v>203</v>
      </c>
      <c r="D10" t="s">
        <v>42</v>
      </c>
      <c r="E10" t="str">
        <f>VLOOKUP(A10,'[13]A25-M03-D17_CAPEX_AmpliAR'!$B$3:$F$950,5,)</f>
        <v>BA</v>
      </c>
      <c r="F10" t="s">
        <v>177</v>
      </c>
      <c r="G10">
        <v>3</v>
      </c>
      <c r="H10" s="41">
        <f t="shared" si="0"/>
        <v>875000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875000</v>
      </c>
      <c r="R10" s="54">
        <v>0</v>
      </c>
      <c r="S10" s="55">
        <v>0</v>
      </c>
      <c r="T10" s="56">
        <v>0</v>
      </c>
      <c r="U10" s="55">
        <v>0</v>
      </c>
      <c r="V10" s="57">
        <v>0</v>
      </c>
      <c r="W10" s="55">
        <v>0</v>
      </c>
      <c r="X10" s="55">
        <v>0</v>
      </c>
      <c r="Y10" s="55">
        <v>0</v>
      </c>
      <c r="Z10" s="55">
        <v>875000</v>
      </c>
      <c r="AA10" s="45">
        <v>2310</v>
      </c>
      <c r="AB10" s="46" t="s">
        <v>97</v>
      </c>
      <c r="AC10" t="s">
        <v>204</v>
      </c>
      <c r="AD10" t="s">
        <v>205</v>
      </c>
    </row>
    <row r="11" spans="1:30" x14ac:dyDescent="0.25">
      <c r="A11" t="s">
        <v>91</v>
      </c>
      <c r="B11" t="s">
        <v>132</v>
      </c>
      <c r="C11" t="s">
        <v>206</v>
      </c>
      <c r="D11" t="s">
        <v>102</v>
      </c>
      <c r="E11" t="str">
        <f>VLOOKUP(A11,'[13]A25-M03-D17_CAPEX_AmpliAR'!$B$3:$F$950,5,)</f>
        <v>MT</v>
      </c>
      <c r="F11" t="s">
        <v>177</v>
      </c>
      <c r="G11">
        <v>0</v>
      </c>
      <c r="H11" s="41">
        <f t="shared" si="0"/>
        <v>20317.830000000002</v>
      </c>
      <c r="I11" s="42">
        <v>0</v>
      </c>
      <c r="J11" s="42">
        <v>0</v>
      </c>
      <c r="K11" s="42">
        <v>0</v>
      </c>
      <c r="L11" s="42">
        <v>20317.830000000002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54">
        <v>0</v>
      </c>
      <c r="S11" s="55">
        <v>0</v>
      </c>
      <c r="T11" s="56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20317.830000000002</v>
      </c>
      <c r="AA11" s="45">
        <v>810</v>
      </c>
      <c r="AB11" s="46" t="s">
        <v>97</v>
      </c>
      <c r="AC11" t="s">
        <v>207</v>
      </c>
      <c r="AD11" t="s">
        <v>196</v>
      </c>
    </row>
    <row r="12" spans="1:30" x14ac:dyDescent="0.25">
      <c r="A12" t="s">
        <v>128</v>
      </c>
      <c r="B12" t="s">
        <v>129</v>
      </c>
      <c r="C12" t="s">
        <v>208</v>
      </c>
      <c r="D12" t="s">
        <v>129</v>
      </c>
      <c r="E12" t="str">
        <f>VLOOKUP(A12,'[13]A25-M03-D17_CAPEX_AmpliAR'!$B$3:$F$950,5,)</f>
        <v>PA</v>
      </c>
      <c r="F12" t="s">
        <v>177</v>
      </c>
      <c r="G12">
        <v>3</v>
      </c>
      <c r="H12" s="41">
        <f t="shared" si="0"/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54">
        <v>0</v>
      </c>
      <c r="S12" s="55">
        <v>0</v>
      </c>
      <c r="T12" s="56">
        <v>0</v>
      </c>
      <c r="U12" s="55">
        <v>0</v>
      </c>
      <c r="V12" s="57">
        <v>0</v>
      </c>
      <c r="W12" s="55">
        <v>0</v>
      </c>
      <c r="X12" s="55">
        <v>0</v>
      </c>
      <c r="Y12" s="55">
        <v>0</v>
      </c>
      <c r="Z12" s="55">
        <v>0</v>
      </c>
      <c r="AA12" s="45">
        <v>3761</v>
      </c>
      <c r="AB12" s="43" t="s">
        <v>97</v>
      </c>
      <c r="AC12" s="9" t="s">
        <v>210</v>
      </c>
      <c r="AD12" t="s">
        <v>211</v>
      </c>
    </row>
    <row r="13" spans="1:30" x14ac:dyDescent="0.25">
      <c r="A13" t="s">
        <v>43</v>
      </c>
      <c r="B13" t="s">
        <v>44</v>
      </c>
      <c r="C13" t="s">
        <v>212</v>
      </c>
      <c r="D13" t="s">
        <v>44</v>
      </c>
      <c r="E13" t="str">
        <f>VLOOKUP(A13,'[13]A25-M03-D17_CAPEX_AmpliAR'!$B$3:$F$950,5,)</f>
        <v>AM</v>
      </c>
      <c r="F13" t="s">
        <v>177</v>
      </c>
      <c r="G13">
        <v>1</v>
      </c>
      <c r="H13" s="41">
        <f t="shared" si="0"/>
        <v>999443.67</v>
      </c>
      <c r="I13" s="42">
        <v>0</v>
      </c>
      <c r="J13" s="42">
        <v>0</v>
      </c>
      <c r="K13" s="42">
        <v>0</v>
      </c>
      <c r="L13" s="42">
        <v>20317.830000000002</v>
      </c>
      <c r="M13" s="42">
        <v>104125.84</v>
      </c>
      <c r="N13" s="42">
        <v>0</v>
      </c>
      <c r="O13" s="42">
        <v>0</v>
      </c>
      <c r="P13" s="42">
        <v>0</v>
      </c>
      <c r="Q13" s="42">
        <v>875000</v>
      </c>
      <c r="R13" s="54">
        <v>0</v>
      </c>
      <c r="S13" s="55">
        <v>0</v>
      </c>
      <c r="T13" s="56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999443.67</v>
      </c>
      <c r="AA13" s="45">
        <v>1350</v>
      </c>
      <c r="AB13" s="43" t="s">
        <v>97</v>
      </c>
      <c r="AC13" t="s">
        <v>213</v>
      </c>
      <c r="AD13" t="s">
        <v>214</v>
      </c>
    </row>
    <row r="14" spans="1:30" x14ac:dyDescent="0.25">
      <c r="A14" t="s">
        <v>85</v>
      </c>
      <c r="B14" t="s">
        <v>86</v>
      </c>
      <c r="C14" t="s">
        <v>215</v>
      </c>
      <c r="D14" t="s">
        <v>86</v>
      </c>
      <c r="E14" t="str">
        <f>VLOOKUP(A14,'[13]A25-M03-D17_CAPEX_AmpliAR'!$B$3:$F$950,5,)</f>
        <v>AM</v>
      </c>
      <c r="F14" t="s">
        <v>177</v>
      </c>
      <c r="G14">
        <v>3</v>
      </c>
      <c r="H14" s="41">
        <f t="shared" si="0"/>
        <v>875000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875000</v>
      </c>
      <c r="R14" s="54">
        <v>0</v>
      </c>
      <c r="S14" s="55">
        <v>0</v>
      </c>
      <c r="T14" s="56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875000</v>
      </c>
      <c r="AA14" s="45">
        <v>4310</v>
      </c>
      <c r="AB14" s="46" t="s">
        <v>97</v>
      </c>
      <c r="AC14" t="s">
        <v>216</v>
      </c>
      <c r="AD14" t="s">
        <v>217</v>
      </c>
    </row>
    <row r="15" spans="1:30" x14ac:dyDescent="0.25">
      <c r="A15" t="s">
        <v>53</v>
      </c>
      <c r="B15" t="s">
        <v>54</v>
      </c>
      <c r="C15" t="s">
        <v>55</v>
      </c>
      <c r="D15" t="s">
        <v>54</v>
      </c>
      <c r="E15" t="s">
        <v>34</v>
      </c>
      <c r="F15" t="s">
        <v>177</v>
      </c>
      <c r="G15">
        <v>3</v>
      </c>
      <c r="H15" s="41">
        <f t="shared" si="0"/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54">
        <v>0</v>
      </c>
      <c r="S15" s="55">
        <v>0</v>
      </c>
      <c r="T15" s="56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45">
        <v>1075</v>
      </c>
      <c r="AB15" s="43" t="s">
        <v>97</v>
      </c>
      <c r="AC15" t="s">
        <v>216</v>
      </c>
      <c r="AD15" t="s">
        <v>218</v>
      </c>
    </row>
    <row r="16" spans="1:30" x14ac:dyDescent="0.25">
      <c r="A16" t="s">
        <v>63</v>
      </c>
      <c r="B16" t="s">
        <v>64</v>
      </c>
      <c r="C16" t="s">
        <v>65</v>
      </c>
      <c r="D16" t="s">
        <v>66</v>
      </c>
      <c r="E16" t="s">
        <v>34</v>
      </c>
      <c r="F16" t="s">
        <v>177</v>
      </c>
      <c r="G16">
        <v>3</v>
      </c>
      <c r="H16" s="41">
        <f t="shared" si="0"/>
        <v>875000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875000</v>
      </c>
      <c r="R16" s="54">
        <v>0</v>
      </c>
      <c r="S16" s="55">
        <v>0</v>
      </c>
      <c r="T16" s="56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875000</v>
      </c>
      <c r="AA16" s="45">
        <v>4725</v>
      </c>
      <c r="AB16" s="43" t="s">
        <v>97</v>
      </c>
      <c r="AC16" t="s">
        <v>219</v>
      </c>
      <c r="AD16" t="s">
        <v>220</v>
      </c>
    </row>
    <row r="17" spans="1:30" x14ac:dyDescent="0.25">
      <c r="A17" t="s">
        <v>157</v>
      </c>
      <c r="B17" t="s">
        <v>158</v>
      </c>
      <c r="C17" t="s">
        <v>159</v>
      </c>
      <c r="D17" t="s">
        <v>158</v>
      </c>
      <c r="E17" t="s">
        <v>31</v>
      </c>
      <c r="F17" t="s">
        <v>177</v>
      </c>
      <c r="G17">
        <v>0</v>
      </c>
      <c r="H17" s="41">
        <f t="shared" si="0"/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54">
        <v>0</v>
      </c>
      <c r="S17" s="55">
        <v>0</v>
      </c>
      <c r="T17" s="56">
        <v>0</v>
      </c>
      <c r="U17" s="55">
        <v>0</v>
      </c>
      <c r="V17" s="57">
        <v>0</v>
      </c>
      <c r="W17" s="55">
        <v>0</v>
      </c>
      <c r="X17" s="55">
        <v>0</v>
      </c>
      <c r="Y17" s="55">
        <v>0</v>
      </c>
      <c r="Z17" s="55">
        <v>0</v>
      </c>
      <c r="AA17" s="45">
        <v>810</v>
      </c>
      <c r="AB17" s="46" t="s">
        <v>97</v>
      </c>
      <c r="AC17" t="s">
        <v>221</v>
      </c>
      <c r="AD17" t="s">
        <v>196</v>
      </c>
    </row>
    <row r="18" spans="1:30" x14ac:dyDescent="0.25">
      <c r="A18" t="s">
        <v>67</v>
      </c>
      <c r="B18" t="s">
        <v>68</v>
      </c>
      <c r="C18" t="s">
        <v>69</v>
      </c>
      <c r="D18" t="s">
        <v>70</v>
      </c>
      <c r="E18" t="s">
        <v>31</v>
      </c>
      <c r="F18" t="s">
        <v>177</v>
      </c>
      <c r="G18">
        <v>1</v>
      </c>
      <c r="H18" s="41">
        <f t="shared" si="0"/>
        <v>875000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875000</v>
      </c>
      <c r="R18" s="54">
        <v>0</v>
      </c>
      <c r="S18" s="55">
        <v>0</v>
      </c>
      <c r="T18" s="56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875000</v>
      </c>
      <c r="AA18" s="45">
        <v>4275</v>
      </c>
      <c r="AB18" s="43" t="s">
        <v>97</v>
      </c>
      <c r="AC18" t="s">
        <v>222</v>
      </c>
      <c r="AD18" t="s">
        <v>220</v>
      </c>
    </row>
    <row r="19" spans="1:30" x14ac:dyDescent="0.25">
      <c r="A19" t="s">
        <v>130</v>
      </c>
      <c r="B19" t="s">
        <v>131</v>
      </c>
      <c r="C19" t="s">
        <v>136</v>
      </c>
      <c r="D19" t="s">
        <v>131</v>
      </c>
      <c r="E19" t="s">
        <v>26</v>
      </c>
      <c r="F19" t="s">
        <v>177</v>
      </c>
      <c r="G19">
        <v>3</v>
      </c>
      <c r="H19" s="41">
        <f t="shared" si="0"/>
        <v>999443.67</v>
      </c>
      <c r="I19" s="42">
        <v>0</v>
      </c>
      <c r="J19" s="42">
        <v>0</v>
      </c>
      <c r="K19" s="42">
        <v>0</v>
      </c>
      <c r="L19" s="42">
        <v>20317.830000000002</v>
      </c>
      <c r="M19" s="42">
        <v>104125.84</v>
      </c>
      <c r="N19" s="42">
        <v>0</v>
      </c>
      <c r="O19" s="42">
        <v>0</v>
      </c>
      <c r="P19" s="42">
        <v>0</v>
      </c>
      <c r="Q19" s="42">
        <v>875000</v>
      </c>
      <c r="R19" s="54">
        <v>0</v>
      </c>
      <c r="S19" s="55">
        <v>0</v>
      </c>
      <c r="T19" s="56">
        <v>0</v>
      </c>
      <c r="U19" s="55">
        <v>0</v>
      </c>
      <c r="V19" s="57">
        <v>0</v>
      </c>
      <c r="W19" s="55">
        <v>0</v>
      </c>
      <c r="X19" s="55">
        <v>0</v>
      </c>
      <c r="Y19" s="55">
        <v>0</v>
      </c>
      <c r="Z19" s="55">
        <v>999443.67</v>
      </c>
      <c r="AA19" s="45">
        <v>2625</v>
      </c>
      <c r="AB19" s="43" t="s">
        <v>97</v>
      </c>
      <c r="AC19" s="9" t="s">
        <v>224</v>
      </c>
      <c r="AD19" t="s">
        <v>225</v>
      </c>
    </row>
    <row r="20" spans="1:30" x14ac:dyDescent="0.25">
      <c r="A20" t="s">
        <v>80</v>
      </c>
      <c r="B20" t="s">
        <v>81</v>
      </c>
      <c r="C20" t="s">
        <v>82</v>
      </c>
      <c r="D20" t="s">
        <v>83</v>
      </c>
      <c r="E20" t="s">
        <v>33</v>
      </c>
      <c r="F20" t="s">
        <v>177</v>
      </c>
      <c r="G20">
        <v>2</v>
      </c>
      <c r="H20" s="41">
        <f t="shared" si="0"/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54">
        <v>0</v>
      </c>
      <c r="S20" s="55">
        <v>0</v>
      </c>
      <c r="T20" s="56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875000</v>
      </c>
      <c r="AA20" s="45" t="s">
        <v>97</v>
      </c>
      <c r="AB20" s="43" t="s">
        <v>97</v>
      </c>
      <c r="AC20" t="s">
        <v>226</v>
      </c>
      <c r="AD20" t="s">
        <v>227</v>
      </c>
    </row>
    <row r="21" spans="1:30" x14ac:dyDescent="0.25">
      <c r="A21" t="s">
        <v>317</v>
      </c>
      <c r="B21" t="s">
        <v>349</v>
      </c>
      <c r="D21" t="s">
        <v>318</v>
      </c>
      <c r="E21" t="s">
        <v>323</v>
      </c>
      <c r="F21" t="s">
        <v>177</v>
      </c>
      <c r="G21" s="62">
        <v>3</v>
      </c>
      <c r="H21" s="41">
        <f t="shared" si="0"/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54">
        <v>0</v>
      </c>
      <c r="S21" s="55">
        <v>0</v>
      </c>
      <c r="T21" s="56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875000</v>
      </c>
    </row>
    <row r="22" spans="1:30" x14ac:dyDescent="0.25">
      <c r="A22" t="s">
        <v>321</v>
      </c>
      <c r="B22" t="s">
        <v>350</v>
      </c>
      <c r="D22" t="s">
        <v>345</v>
      </c>
      <c r="E22" t="s">
        <v>323</v>
      </c>
      <c r="F22" t="s">
        <v>177</v>
      </c>
      <c r="G22" s="62">
        <v>4</v>
      </c>
      <c r="H22" s="41">
        <f t="shared" si="0"/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54">
        <v>0</v>
      </c>
      <c r="S22" s="55">
        <v>0</v>
      </c>
      <c r="T22" s="56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875000</v>
      </c>
    </row>
    <row r="24" spans="1:30" x14ac:dyDescent="0.25">
      <c r="W24" s="49"/>
    </row>
    <row r="25" spans="1:30" x14ac:dyDescent="0.25">
      <c r="A25" s="23" t="s">
        <v>146</v>
      </c>
    </row>
  </sheetData>
  <autoFilter ref="A2:H20" xr:uid="{00000000-0009-0000-0000-000000000000}"/>
  <hyperlinks>
    <hyperlink ref="A25" location="Introdução!A1" display="Introdução!A1" xr:uid="{3FB6B9C2-E733-427A-B699-E8A103BBA27A}"/>
  </hyperlinks>
  <pageMargins left="0.511811024" right="0.511811024" top="0.78740157499999996" bottom="0.78740157499999996" header="0.31496062000000002" footer="0.31496062000000002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3A549-CDEF-45F4-863E-243972895680}">
  <sheetPr codeName="Planilha25">
    <tabColor theme="3" tint="0.79998168889431442"/>
    <pageSetUpPr autoPageBreaks="0"/>
  </sheetPr>
  <dimension ref="A1:AF942"/>
  <sheetViews>
    <sheetView showGridLines="0" workbookViewId="0">
      <selection activeCell="M9" sqref="M9"/>
    </sheetView>
  </sheetViews>
  <sheetFormatPr defaultRowHeight="15" x14ac:dyDescent="0.25"/>
  <sheetData>
    <row r="1" spans="1:32" s="4" customFormat="1" x14ac:dyDescent="0.25">
      <c r="A1" s="4" t="s">
        <v>0</v>
      </c>
      <c r="B1" s="4">
        <v>2022</v>
      </c>
      <c r="C1" s="4">
        <v>2023</v>
      </c>
      <c r="D1" s="4">
        <v>2024</v>
      </c>
      <c r="E1" s="4">
        <v>2025</v>
      </c>
      <c r="F1" s="4">
        <v>2026</v>
      </c>
      <c r="G1" s="4">
        <v>2027</v>
      </c>
      <c r="H1" s="4">
        <v>2028</v>
      </c>
      <c r="I1" s="4">
        <v>2029</v>
      </c>
      <c r="J1" s="4">
        <v>2030</v>
      </c>
      <c r="K1" s="4">
        <v>2031</v>
      </c>
      <c r="L1" s="4">
        <v>2032</v>
      </c>
      <c r="M1" s="4">
        <v>2033</v>
      </c>
      <c r="N1" s="4">
        <v>2034</v>
      </c>
      <c r="O1" s="4">
        <v>2035</v>
      </c>
      <c r="P1" s="4">
        <v>2036</v>
      </c>
      <c r="Q1" s="4">
        <v>2037</v>
      </c>
      <c r="R1" s="4">
        <v>2038</v>
      </c>
      <c r="S1" s="4">
        <v>2039</v>
      </c>
      <c r="T1" s="4">
        <v>2040</v>
      </c>
      <c r="U1" s="4">
        <v>2041</v>
      </c>
      <c r="V1" s="4">
        <v>2042</v>
      </c>
      <c r="W1" s="4">
        <v>2043</v>
      </c>
      <c r="X1" s="4">
        <v>2044</v>
      </c>
      <c r="Y1" s="4">
        <v>2045</v>
      </c>
      <c r="Z1" s="4">
        <v>2046</v>
      </c>
      <c r="AA1" s="4">
        <v>2047</v>
      </c>
      <c r="AB1" s="4">
        <v>2048</v>
      </c>
      <c r="AC1" s="4">
        <v>2049</v>
      </c>
      <c r="AD1" s="4">
        <v>2050</v>
      </c>
      <c r="AE1" s="4">
        <v>2051</v>
      </c>
      <c r="AF1" s="4">
        <v>2052</v>
      </c>
    </row>
    <row r="2" spans="1:32" x14ac:dyDescent="0.25">
      <c r="A2" t="s">
        <v>356</v>
      </c>
    </row>
    <row r="3" spans="1:32" ht="15" customHeight="1" x14ac:dyDescent="0.25">
      <c r="A3" t="s">
        <v>357</v>
      </c>
    </row>
    <row r="4" spans="1:32" ht="15" customHeight="1" x14ac:dyDescent="0.25">
      <c r="A4" t="s">
        <v>358</v>
      </c>
    </row>
    <row r="5" spans="1:32" ht="15" customHeight="1" x14ac:dyDescent="0.25">
      <c r="A5" t="s">
        <v>359</v>
      </c>
    </row>
    <row r="6" spans="1:32" ht="15" customHeight="1" x14ac:dyDescent="0.25">
      <c r="A6" t="s">
        <v>360</v>
      </c>
    </row>
    <row r="7" spans="1:32" ht="15" customHeight="1" x14ac:dyDescent="0.25">
      <c r="A7" t="s">
        <v>361</v>
      </c>
    </row>
    <row r="8" spans="1:32" ht="15" customHeight="1" x14ac:dyDescent="0.25">
      <c r="A8" t="s">
        <v>362</v>
      </c>
    </row>
    <row r="9" spans="1:32" ht="15" customHeight="1" x14ac:dyDescent="0.25">
      <c r="A9" t="s">
        <v>363</v>
      </c>
    </row>
    <row r="10" spans="1:32" ht="15" customHeight="1" x14ac:dyDescent="0.25">
      <c r="A10" t="s">
        <v>364</v>
      </c>
      <c r="B10">
        <v>5748</v>
      </c>
      <c r="C10">
        <v>6799</v>
      </c>
      <c r="D10">
        <v>7783</v>
      </c>
      <c r="E10">
        <v>8702</v>
      </c>
      <c r="F10">
        <v>9510</v>
      </c>
      <c r="G10">
        <v>10289</v>
      </c>
      <c r="H10">
        <v>11077</v>
      </c>
      <c r="I10">
        <v>11883</v>
      </c>
      <c r="J10">
        <v>12713</v>
      </c>
      <c r="K10">
        <v>13559</v>
      </c>
      <c r="L10">
        <v>14407</v>
      </c>
      <c r="M10">
        <v>15274</v>
      </c>
      <c r="N10">
        <v>16180</v>
      </c>
      <c r="O10">
        <v>17131</v>
      </c>
      <c r="P10">
        <v>18135</v>
      </c>
      <c r="Q10">
        <v>19182</v>
      </c>
      <c r="R10">
        <v>20294</v>
      </c>
      <c r="S10">
        <v>21457</v>
      </c>
      <c r="T10">
        <v>22690</v>
      </c>
      <c r="U10">
        <v>23991</v>
      </c>
      <c r="V10">
        <v>25370</v>
      </c>
      <c r="W10">
        <v>26797</v>
      </c>
      <c r="X10">
        <v>28305</v>
      </c>
      <c r="Y10">
        <v>29876</v>
      </c>
      <c r="Z10">
        <v>31548</v>
      </c>
      <c r="AA10">
        <v>33296</v>
      </c>
      <c r="AB10">
        <v>35138</v>
      </c>
      <c r="AC10">
        <v>37050</v>
      </c>
      <c r="AD10">
        <v>39052</v>
      </c>
      <c r="AE10">
        <v>41163</v>
      </c>
      <c r="AF10">
        <v>43392</v>
      </c>
    </row>
    <row r="11" spans="1:32" ht="15" customHeight="1" x14ac:dyDescent="0.25">
      <c r="A11" t="s">
        <v>1090</v>
      </c>
    </row>
    <row r="12" spans="1:32" ht="15" customHeight="1" x14ac:dyDescent="0.25">
      <c r="A12" t="s">
        <v>365</v>
      </c>
    </row>
    <row r="13" spans="1:32" ht="15" customHeight="1" x14ac:dyDescent="0.25">
      <c r="A13" t="s">
        <v>366</v>
      </c>
    </row>
    <row r="14" spans="1:32" ht="15" customHeight="1" x14ac:dyDescent="0.25">
      <c r="A14" t="s">
        <v>367</v>
      </c>
    </row>
    <row r="15" spans="1:32" ht="15" customHeight="1" x14ac:dyDescent="0.25">
      <c r="A15" t="s">
        <v>368</v>
      </c>
    </row>
    <row r="16" spans="1:32" ht="15" customHeight="1" x14ac:dyDescent="0.25">
      <c r="A16" t="s">
        <v>369</v>
      </c>
    </row>
    <row r="17" spans="1:32" ht="15" customHeight="1" x14ac:dyDescent="0.25">
      <c r="A17" t="s">
        <v>370</v>
      </c>
    </row>
    <row r="18" spans="1:32" ht="15" customHeight="1" x14ac:dyDescent="0.25">
      <c r="A18" t="s">
        <v>371</v>
      </c>
    </row>
    <row r="19" spans="1:32" ht="15" customHeight="1" x14ac:dyDescent="0.25">
      <c r="A19" t="s">
        <v>372</v>
      </c>
    </row>
    <row r="20" spans="1:32" ht="15" customHeight="1" x14ac:dyDescent="0.25">
      <c r="A20" t="s">
        <v>1091</v>
      </c>
      <c r="B20">
        <v>1599</v>
      </c>
      <c r="C20">
        <v>1928</v>
      </c>
      <c r="D20">
        <v>2248</v>
      </c>
      <c r="E20">
        <v>2541</v>
      </c>
      <c r="F20">
        <v>2852</v>
      </c>
      <c r="G20">
        <v>3045</v>
      </c>
      <c r="H20">
        <v>3195</v>
      </c>
      <c r="I20">
        <v>3312</v>
      </c>
      <c r="J20">
        <v>3434</v>
      </c>
      <c r="K20">
        <v>3535</v>
      </c>
      <c r="L20">
        <v>3639</v>
      </c>
      <c r="M20">
        <v>3722</v>
      </c>
      <c r="N20">
        <v>3816</v>
      </c>
      <c r="O20">
        <v>3896</v>
      </c>
      <c r="P20">
        <v>3992</v>
      </c>
      <c r="Q20">
        <v>4071</v>
      </c>
      <c r="R20">
        <v>4165</v>
      </c>
      <c r="S20">
        <v>4244</v>
      </c>
      <c r="T20">
        <v>4341</v>
      </c>
      <c r="U20">
        <v>4414</v>
      </c>
      <c r="V20">
        <v>4510</v>
      </c>
      <c r="W20">
        <v>4587</v>
      </c>
      <c r="X20">
        <v>4684</v>
      </c>
      <c r="Y20">
        <v>4761</v>
      </c>
      <c r="Z20">
        <v>4859</v>
      </c>
      <c r="AA20">
        <v>4939</v>
      </c>
      <c r="AB20">
        <v>5039</v>
      </c>
      <c r="AC20">
        <v>5116</v>
      </c>
      <c r="AD20">
        <v>5213</v>
      </c>
      <c r="AE20">
        <v>5311</v>
      </c>
      <c r="AF20">
        <v>5412</v>
      </c>
    </row>
    <row r="21" spans="1:32" ht="15" customHeight="1" x14ac:dyDescent="0.25">
      <c r="A21" t="s">
        <v>373</v>
      </c>
    </row>
    <row r="22" spans="1:32" ht="15" customHeight="1" x14ac:dyDescent="0.25">
      <c r="A22" t="s">
        <v>374</v>
      </c>
    </row>
    <row r="23" spans="1:32" ht="15" customHeight="1" x14ac:dyDescent="0.25">
      <c r="A23" t="s">
        <v>375</v>
      </c>
    </row>
    <row r="24" spans="1:32" ht="15" customHeight="1" x14ac:dyDescent="0.25">
      <c r="A24" t="s">
        <v>376</v>
      </c>
    </row>
    <row r="25" spans="1:32" ht="15" customHeight="1" x14ac:dyDescent="0.25">
      <c r="A25" t="s">
        <v>377</v>
      </c>
    </row>
    <row r="26" spans="1:32" ht="15" customHeight="1" x14ac:dyDescent="0.25">
      <c r="A26" t="s">
        <v>780</v>
      </c>
    </row>
    <row r="27" spans="1:32" ht="15" customHeight="1" x14ac:dyDescent="0.25">
      <c r="A27" t="s">
        <v>378</v>
      </c>
    </row>
    <row r="28" spans="1:32" ht="15" customHeight="1" x14ac:dyDescent="0.25">
      <c r="A28" t="s">
        <v>379</v>
      </c>
    </row>
    <row r="29" spans="1:32" ht="15" customHeight="1" x14ac:dyDescent="0.25">
      <c r="A29" t="s">
        <v>380</v>
      </c>
    </row>
    <row r="30" spans="1:32" ht="15" customHeight="1" x14ac:dyDescent="0.25">
      <c r="A30" t="s">
        <v>1092</v>
      </c>
    </row>
    <row r="31" spans="1:32" ht="15" customHeight="1" x14ac:dyDescent="0.25">
      <c r="A31" t="s">
        <v>1093</v>
      </c>
    </row>
    <row r="32" spans="1:32" ht="15" customHeight="1" x14ac:dyDescent="0.25">
      <c r="A32" t="s">
        <v>381</v>
      </c>
    </row>
    <row r="33" spans="1:1" ht="15" customHeight="1" x14ac:dyDescent="0.25">
      <c r="A33" t="s">
        <v>1094</v>
      </c>
    </row>
    <row r="34" spans="1:1" ht="15" customHeight="1" x14ac:dyDescent="0.25">
      <c r="A34" t="s">
        <v>382</v>
      </c>
    </row>
    <row r="35" spans="1:1" ht="15" customHeight="1" x14ac:dyDescent="0.25">
      <c r="A35" t="s">
        <v>383</v>
      </c>
    </row>
    <row r="36" spans="1:1" ht="15" customHeight="1" x14ac:dyDescent="0.25">
      <c r="A36" t="s">
        <v>384</v>
      </c>
    </row>
    <row r="37" spans="1:1" ht="15" customHeight="1" x14ac:dyDescent="0.25">
      <c r="A37" t="s">
        <v>385</v>
      </c>
    </row>
    <row r="38" spans="1:1" ht="15" customHeight="1" x14ac:dyDescent="0.25">
      <c r="A38" t="s">
        <v>386</v>
      </c>
    </row>
    <row r="39" spans="1:1" ht="15" customHeight="1" x14ac:dyDescent="0.25">
      <c r="A39" t="s">
        <v>1095</v>
      </c>
    </row>
    <row r="40" spans="1:1" ht="15" customHeight="1" x14ac:dyDescent="0.25">
      <c r="A40" t="s">
        <v>387</v>
      </c>
    </row>
    <row r="41" spans="1:1" ht="15" customHeight="1" x14ac:dyDescent="0.25">
      <c r="A41" t="s">
        <v>388</v>
      </c>
    </row>
    <row r="42" spans="1:1" ht="15" customHeight="1" x14ac:dyDescent="0.25">
      <c r="A42" t="s">
        <v>389</v>
      </c>
    </row>
    <row r="43" spans="1:1" ht="15" customHeight="1" x14ac:dyDescent="0.25">
      <c r="A43" t="s">
        <v>390</v>
      </c>
    </row>
    <row r="44" spans="1:1" ht="15" customHeight="1" x14ac:dyDescent="0.25">
      <c r="A44" t="s">
        <v>391</v>
      </c>
    </row>
    <row r="45" spans="1:1" ht="15" customHeight="1" x14ac:dyDescent="0.25">
      <c r="A45" t="s">
        <v>392</v>
      </c>
    </row>
    <row r="46" spans="1:1" ht="15" customHeight="1" x14ac:dyDescent="0.25">
      <c r="A46" t="s">
        <v>393</v>
      </c>
    </row>
    <row r="47" spans="1:1" ht="15" customHeight="1" x14ac:dyDescent="0.25">
      <c r="A47" t="s">
        <v>394</v>
      </c>
    </row>
    <row r="48" spans="1:1" ht="15" customHeight="1" x14ac:dyDescent="0.25">
      <c r="A48" t="s">
        <v>395</v>
      </c>
    </row>
    <row r="49" spans="1:1" ht="15" customHeight="1" x14ac:dyDescent="0.25">
      <c r="A49" t="s">
        <v>396</v>
      </c>
    </row>
    <row r="50" spans="1:1" ht="15" customHeight="1" x14ac:dyDescent="0.25">
      <c r="A50" t="s">
        <v>397</v>
      </c>
    </row>
    <row r="51" spans="1:1" ht="15" customHeight="1" x14ac:dyDescent="0.25">
      <c r="A51" t="s">
        <v>398</v>
      </c>
    </row>
    <row r="52" spans="1:1" ht="15" customHeight="1" x14ac:dyDescent="0.25">
      <c r="A52" t="s">
        <v>1096</v>
      </c>
    </row>
    <row r="53" spans="1:1" ht="15" customHeight="1" x14ac:dyDescent="0.25">
      <c r="A53" t="s">
        <v>400</v>
      </c>
    </row>
    <row r="54" spans="1:1" ht="15" customHeight="1" x14ac:dyDescent="0.25">
      <c r="A54" t="s">
        <v>401</v>
      </c>
    </row>
    <row r="55" spans="1:1" ht="15" customHeight="1" x14ac:dyDescent="0.25">
      <c r="A55" t="s">
        <v>402</v>
      </c>
    </row>
    <row r="56" spans="1:1" ht="15" customHeight="1" x14ac:dyDescent="0.25">
      <c r="A56" t="s">
        <v>403</v>
      </c>
    </row>
    <row r="57" spans="1:1" ht="15" customHeight="1" x14ac:dyDescent="0.25">
      <c r="A57" t="s">
        <v>404</v>
      </c>
    </row>
    <row r="58" spans="1:1" ht="15" customHeight="1" x14ac:dyDescent="0.25">
      <c r="A58" t="s">
        <v>405</v>
      </c>
    </row>
    <row r="59" spans="1:1" ht="15" customHeight="1" x14ac:dyDescent="0.25">
      <c r="A59" t="s">
        <v>406</v>
      </c>
    </row>
    <row r="60" spans="1:1" ht="15" customHeight="1" x14ac:dyDescent="0.25">
      <c r="A60" t="s">
        <v>407</v>
      </c>
    </row>
    <row r="61" spans="1:1" ht="15" customHeight="1" x14ac:dyDescent="0.25">
      <c r="A61" t="s">
        <v>408</v>
      </c>
    </row>
    <row r="62" spans="1:1" ht="15" customHeight="1" x14ac:dyDescent="0.25">
      <c r="A62" t="s">
        <v>409</v>
      </c>
    </row>
    <row r="63" spans="1:1" ht="15" customHeight="1" x14ac:dyDescent="0.25">
      <c r="A63" t="s">
        <v>1097</v>
      </c>
    </row>
    <row r="64" spans="1:1" ht="15" customHeight="1" x14ac:dyDescent="0.25">
      <c r="A64" t="s">
        <v>411</v>
      </c>
    </row>
    <row r="65" spans="1:32" ht="15" customHeight="1" x14ac:dyDescent="0.25">
      <c r="A65" t="s">
        <v>412</v>
      </c>
    </row>
    <row r="66" spans="1:32" ht="15" customHeight="1" x14ac:dyDescent="0.25">
      <c r="A66" t="s">
        <v>413</v>
      </c>
    </row>
    <row r="67" spans="1:32" ht="15" customHeight="1" x14ac:dyDescent="0.25">
      <c r="A67" t="s">
        <v>414</v>
      </c>
    </row>
    <row r="68" spans="1:32" ht="15" customHeight="1" x14ac:dyDescent="0.25">
      <c r="A68" t="s">
        <v>415</v>
      </c>
    </row>
    <row r="69" spans="1:32" ht="15" customHeight="1" x14ac:dyDescent="0.25">
      <c r="A69" t="s">
        <v>416</v>
      </c>
    </row>
    <row r="70" spans="1:32" ht="15" customHeight="1" x14ac:dyDescent="0.25">
      <c r="A70" t="s">
        <v>417</v>
      </c>
    </row>
    <row r="71" spans="1:32" ht="15" customHeight="1" x14ac:dyDescent="0.25">
      <c r="A71" t="s">
        <v>418</v>
      </c>
    </row>
    <row r="72" spans="1:32" ht="15" customHeight="1" x14ac:dyDescent="0.25">
      <c r="A72" t="s">
        <v>419</v>
      </c>
    </row>
    <row r="73" spans="1:32" ht="15" customHeight="1" x14ac:dyDescent="0.25">
      <c r="A73" t="s">
        <v>1098</v>
      </c>
    </row>
    <row r="74" spans="1:32" ht="15" customHeight="1" x14ac:dyDescent="0.25">
      <c r="A74" t="s">
        <v>420</v>
      </c>
    </row>
    <row r="75" spans="1:32" ht="15" customHeight="1" x14ac:dyDescent="0.25">
      <c r="A75" t="s">
        <v>421</v>
      </c>
    </row>
    <row r="76" spans="1:32" ht="15" customHeight="1" x14ac:dyDescent="0.25">
      <c r="A76" t="s">
        <v>422</v>
      </c>
    </row>
    <row r="77" spans="1:32" ht="15" customHeight="1" x14ac:dyDescent="0.25">
      <c r="A77" t="s">
        <v>423</v>
      </c>
      <c r="B77">
        <v>7913</v>
      </c>
      <c r="C77">
        <v>9582</v>
      </c>
      <c r="D77">
        <v>10892</v>
      </c>
      <c r="E77">
        <v>11991</v>
      </c>
      <c r="F77">
        <v>12843</v>
      </c>
      <c r="G77">
        <v>13627</v>
      </c>
      <c r="H77">
        <v>14353</v>
      </c>
      <c r="I77">
        <v>15057</v>
      </c>
      <c r="J77">
        <v>15776</v>
      </c>
      <c r="K77">
        <v>16450</v>
      </c>
      <c r="L77">
        <v>17090</v>
      </c>
      <c r="M77">
        <v>17712</v>
      </c>
      <c r="N77">
        <v>18341</v>
      </c>
      <c r="O77">
        <v>18978</v>
      </c>
      <c r="P77">
        <v>19667</v>
      </c>
      <c r="Q77">
        <v>20335</v>
      </c>
      <c r="R77">
        <v>21019</v>
      </c>
      <c r="S77">
        <v>21714</v>
      </c>
      <c r="T77">
        <v>22468</v>
      </c>
      <c r="U77">
        <v>23213</v>
      </c>
      <c r="V77">
        <v>24007</v>
      </c>
      <c r="W77">
        <v>24770</v>
      </c>
      <c r="X77">
        <v>25583</v>
      </c>
      <c r="Y77">
        <v>26406</v>
      </c>
      <c r="Z77">
        <v>27290</v>
      </c>
      <c r="AA77">
        <v>28195</v>
      </c>
      <c r="AB77">
        <v>29122</v>
      </c>
      <c r="AC77">
        <v>30045</v>
      </c>
      <c r="AD77">
        <v>31019</v>
      </c>
      <c r="AE77">
        <v>32026</v>
      </c>
      <c r="AF77">
        <v>33068</v>
      </c>
    </row>
    <row r="78" spans="1:32" ht="15" customHeight="1" x14ac:dyDescent="0.25">
      <c r="A78" t="s">
        <v>1099</v>
      </c>
    </row>
    <row r="79" spans="1:32" ht="15" customHeight="1" x14ac:dyDescent="0.25">
      <c r="A79" t="s">
        <v>424</v>
      </c>
    </row>
    <row r="80" spans="1:32" ht="15" customHeight="1" x14ac:dyDescent="0.25">
      <c r="A80" t="s">
        <v>425</v>
      </c>
    </row>
    <row r="81" spans="1:32" ht="15" customHeight="1" x14ac:dyDescent="0.25">
      <c r="A81" t="s">
        <v>1100</v>
      </c>
    </row>
    <row r="82" spans="1:32" ht="15" customHeight="1" x14ac:dyDescent="0.25">
      <c r="A82" t="s">
        <v>427</v>
      </c>
    </row>
    <row r="83" spans="1:32" ht="15" customHeight="1" x14ac:dyDescent="0.25">
      <c r="A83" t="s">
        <v>428</v>
      </c>
    </row>
    <row r="84" spans="1:32" ht="15" customHeight="1" x14ac:dyDescent="0.25">
      <c r="A84" t="s">
        <v>429</v>
      </c>
    </row>
    <row r="85" spans="1:32" ht="15" customHeight="1" x14ac:dyDescent="0.25">
      <c r="A85" t="s">
        <v>430</v>
      </c>
    </row>
    <row r="86" spans="1:32" ht="15" customHeight="1" x14ac:dyDescent="0.25">
      <c r="A86" t="s">
        <v>431</v>
      </c>
    </row>
    <row r="87" spans="1:32" ht="15" customHeight="1" x14ac:dyDescent="0.25">
      <c r="A87" t="s">
        <v>432</v>
      </c>
    </row>
    <row r="88" spans="1:32" ht="15" customHeight="1" x14ac:dyDescent="0.25">
      <c r="A88" t="s">
        <v>433</v>
      </c>
    </row>
    <row r="89" spans="1:32" ht="15" customHeight="1" x14ac:dyDescent="0.25">
      <c r="A89" t="s">
        <v>434</v>
      </c>
    </row>
    <row r="90" spans="1:32" ht="15" customHeight="1" x14ac:dyDescent="0.25">
      <c r="A90" t="s">
        <v>1101</v>
      </c>
    </row>
    <row r="91" spans="1:32" ht="15" customHeight="1" x14ac:dyDescent="0.25">
      <c r="A91" t="s">
        <v>435</v>
      </c>
    </row>
    <row r="92" spans="1:32" ht="15" customHeight="1" x14ac:dyDescent="0.25">
      <c r="A92" t="s">
        <v>436</v>
      </c>
      <c r="B92">
        <v>101892</v>
      </c>
      <c r="C92">
        <v>122983</v>
      </c>
      <c r="D92">
        <v>139110</v>
      </c>
      <c r="E92">
        <v>151726</v>
      </c>
      <c r="F92">
        <v>161000</v>
      </c>
      <c r="G92">
        <v>168984</v>
      </c>
      <c r="H92">
        <v>176308</v>
      </c>
      <c r="I92">
        <v>183105</v>
      </c>
      <c r="J92">
        <v>189890</v>
      </c>
      <c r="K92">
        <v>196329</v>
      </c>
      <c r="L92">
        <v>202146</v>
      </c>
      <c r="M92">
        <v>207576</v>
      </c>
      <c r="N92">
        <v>212989</v>
      </c>
      <c r="O92">
        <v>218245</v>
      </c>
      <c r="P92">
        <v>223753</v>
      </c>
      <c r="Q92">
        <v>229187</v>
      </c>
      <c r="R92">
        <v>234625</v>
      </c>
      <c r="S92">
        <v>239924</v>
      </c>
      <c r="T92">
        <v>245502</v>
      </c>
      <c r="U92">
        <v>250605</v>
      </c>
      <c r="V92">
        <v>255893</v>
      </c>
      <c r="W92">
        <v>261240</v>
      </c>
      <c r="X92">
        <v>266707</v>
      </c>
      <c r="Y92">
        <v>272060</v>
      </c>
      <c r="Z92">
        <v>277568</v>
      </c>
      <c r="AA92">
        <v>282919</v>
      </c>
      <c r="AB92">
        <v>288392</v>
      </c>
      <c r="AC92">
        <v>293673</v>
      </c>
      <c r="AD92">
        <v>298826</v>
      </c>
      <c r="AE92">
        <v>304068</v>
      </c>
      <c r="AF92">
        <v>309405</v>
      </c>
    </row>
    <row r="93" spans="1:32" ht="15" customHeight="1" x14ac:dyDescent="0.25">
      <c r="A93" t="s">
        <v>437</v>
      </c>
      <c r="B93">
        <v>15035</v>
      </c>
      <c r="C93">
        <v>18014</v>
      </c>
      <c r="D93">
        <v>20458</v>
      </c>
      <c r="E93">
        <v>22656</v>
      </c>
      <c r="F93">
        <v>23809</v>
      </c>
      <c r="G93">
        <v>25492</v>
      </c>
      <c r="H93">
        <v>26718</v>
      </c>
      <c r="I93">
        <v>28385</v>
      </c>
      <c r="J93">
        <v>29484</v>
      </c>
      <c r="K93">
        <v>30610</v>
      </c>
      <c r="L93">
        <v>32076</v>
      </c>
      <c r="M93">
        <v>33169</v>
      </c>
      <c r="N93">
        <v>34273</v>
      </c>
      <c r="O93">
        <v>35377</v>
      </c>
      <c r="P93">
        <v>36506</v>
      </c>
      <c r="Q93">
        <v>38032</v>
      </c>
      <c r="R93">
        <v>39535</v>
      </c>
      <c r="S93">
        <v>40670</v>
      </c>
      <c r="T93">
        <v>41834</v>
      </c>
      <c r="U93">
        <v>43008</v>
      </c>
      <c r="V93">
        <v>44578</v>
      </c>
      <c r="W93">
        <v>45742</v>
      </c>
      <c r="X93">
        <v>47358</v>
      </c>
      <c r="Y93">
        <v>48912</v>
      </c>
      <c r="Z93">
        <v>50083</v>
      </c>
      <c r="AA93">
        <v>51640</v>
      </c>
      <c r="AB93">
        <v>53250</v>
      </c>
      <c r="AC93">
        <v>54766</v>
      </c>
      <c r="AD93">
        <v>55870</v>
      </c>
      <c r="AE93">
        <v>56997</v>
      </c>
      <c r="AF93">
        <v>58146</v>
      </c>
    </row>
    <row r="94" spans="1:32" ht="15" customHeight="1" x14ac:dyDescent="0.25">
      <c r="A94" t="s">
        <v>438</v>
      </c>
    </row>
    <row r="95" spans="1:32" ht="15" customHeight="1" x14ac:dyDescent="0.25">
      <c r="A95" t="s">
        <v>439</v>
      </c>
    </row>
    <row r="96" spans="1:32" ht="15" customHeight="1" x14ac:dyDescent="0.25">
      <c r="A96" t="s">
        <v>440</v>
      </c>
    </row>
    <row r="97" spans="1:1" ht="15" customHeight="1" x14ac:dyDescent="0.25">
      <c r="A97" t="s">
        <v>441</v>
      </c>
    </row>
    <row r="98" spans="1:1" ht="15" customHeight="1" x14ac:dyDescent="0.25">
      <c r="A98" t="s">
        <v>442</v>
      </c>
    </row>
    <row r="99" spans="1:1" ht="15" customHeight="1" x14ac:dyDescent="0.25">
      <c r="A99" t="s">
        <v>443</v>
      </c>
    </row>
    <row r="100" spans="1:1" ht="15" customHeight="1" x14ac:dyDescent="0.25">
      <c r="A100" t="s">
        <v>444</v>
      </c>
    </row>
    <row r="101" spans="1:1" ht="15" customHeight="1" x14ac:dyDescent="0.25">
      <c r="A101" t="s">
        <v>445</v>
      </c>
    </row>
    <row r="102" spans="1:1" ht="15" customHeight="1" x14ac:dyDescent="0.25">
      <c r="A102" t="s">
        <v>446</v>
      </c>
    </row>
    <row r="103" spans="1:1" ht="15" customHeight="1" x14ac:dyDescent="0.25">
      <c r="A103" t="s">
        <v>447</v>
      </c>
    </row>
    <row r="104" spans="1:1" ht="15" customHeight="1" x14ac:dyDescent="0.25">
      <c r="A104" t="s">
        <v>448</v>
      </c>
    </row>
    <row r="105" spans="1:1" ht="15" customHeight="1" x14ac:dyDescent="0.25">
      <c r="A105" t="s">
        <v>449</v>
      </c>
    </row>
    <row r="106" spans="1:1" ht="15" customHeight="1" x14ac:dyDescent="0.25">
      <c r="A106" t="s">
        <v>450</v>
      </c>
    </row>
    <row r="107" spans="1:1" ht="15" customHeight="1" x14ac:dyDescent="0.25">
      <c r="A107" t="s">
        <v>451</v>
      </c>
    </row>
    <row r="108" spans="1:1" ht="15" customHeight="1" x14ac:dyDescent="0.25">
      <c r="A108" t="s">
        <v>452</v>
      </c>
    </row>
    <row r="109" spans="1:1" ht="15" customHeight="1" x14ac:dyDescent="0.25">
      <c r="A109" t="s">
        <v>453</v>
      </c>
    </row>
    <row r="110" spans="1:1" ht="15" customHeight="1" x14ac:dyDescent="0.25">
      <c r="A110" t="s">
        <v>454</v>
      </c>
    </row>
    <row r="111" spans="1:1" ht="15" customHeight="1" x14ac:dyDescent="0.25">
      <c r="A111" t="s">
        <v>455</v>
      </c>
    </row>
    <row r="112" spans="1:1" ht="15" customHeight="1" x14ac:dyDescent="0.25">
      <c r="A112" t="s">
        <v>456</v>
      </c>
    </row>
    <row r="113" spans="1:1" ht="15" customHeight="1" x14ac:dyDescent="0.25">
      <c r="A113" t="s">
        <v>457</v>
      </c>
    </row>
    <row r="114" spans="1:1" ht="15" customHeight="1" x14ac:dyDescent="0.25">
      <c r="A114" t="s">
        <v>458</v>
      </c>
    </row>
    <row r="115" spans="1:1" ht="15" customHeight="1" x14ac:dyDescent="0.25">
      <c r="A115" t="s">
        <v>459</v>
      </c>
    </row>
    <row r="116" spans="1:1" ht="15" customHeight="1" x14ac:dyDescent="0.25">
      <c r="A116" t="s">
        <v>460</v>
      </c>
    </row>
    <row r="117" spans="1:1" ht="15" customHeight="1" x14ac:dyDescent="0.25">
      <c r="A117" t="s">
        <v>461</v>
      </c>
    </row>
    <row r="118" spans="1:1" ht="15" customHeight="1" x14ac:dyDescent="0.25">
      <c r="A118" t="s">
        <v>462</v>
      </c>
    </row>
    <row r="119" spans="1:1" ht="15" customHeight="1" x14ac:dyDescent="0.25">
      <c r="A119" t="s">
        <v>463</v>
      </c>
    </row>
    <row r="120" spans="1:1" ht="15" customHeight="1" x14ac:dyDescent="0.25">
      <c r="A120" t="s">
        <v>464</v>
      </c>
    </row>
    <row r="121" spans="1:1" ht="15" customHeight="1" x14ac:dyDescent="0.25">
      <c r="A121" t="s">
        <v>465</v>
      </c>
    </row>
    <row r="122" spans="1:1" ht="15" customHeight="1" x14ac:dyDescent="0.25">
      <c r="A122" t="s">
        <v>466</v>
      </c>
    </row>
    <row r="123" spans="1:1" ht="15" customHeight="1" x14ac:dyDescent="0.25">
      <c r="A123" t="s">
        <v>467</v>
      </c>
    </row>
    <row r="124" spans="1:1" ht="15" customHeight="1" x14ac:dyDescent="0.25">
      <c r="A124" t="s">
        <v>468</v>
      </c>
    </row>
    <row r="125" spans="1:1" ht="15" customHeight="1" x14ac:dyDescent="0.25">
      <c r="A125" t="s">
        <v>469</v>
      </c>
    </row>
    <row r="126" spans="1:1" ht="15" customHeight="1" x14ac:dyDescent="0.25">
      <c r="A126" t="s">
        <v>470</v>
      </c>
    </row>
    <row r="127" spans="1:1" ht="15" customHeight="1" x14ac:dyDescent="0.25">
      <c r="A127" t="s">
        <v>471</v>
      </c>
    </row>
    <row r="128" spans="1:1" ht="15" customHeight="1" x14ac:dyDescent="0.25">
      <c r="A128" t="s">
        <v>472</v>
      </c>
    </row>
    <row r="129" spans="1:32" ht="15" customHeight="1" x14ac:dyDescent="0.25">
      <c r="A129" t="s">
        <v>473</v>
      </c>
    </row>
    <row r="130" spans="1:32" ht="15" customHeight="1" x14ac:dyDescent="0.25">
      <c r="A130" t="s">
        <v>474</v>
      </c>
    </row>
    <row r="131" spans="1:32" ht="15" customHeight="1" x14ac:dyDescent="0.25">
      <c r="A131" t="s">
        <v>475</v>
      </c>
    </row>
    <row r="132" spans="1:32" ht="15" customHeight="1" x14ac:dyDescent="0.25">
      <c r="A132" t="s">
        <v>476</v>
      </c>
      <c r="B132">
        <v>78696</v>
      </c>
      <c r="C132">
        <v>100669</v>
      </c>
      <c r="D132">
        <v>116645</v>
      </c>
      <c r="E132">
        <v>128686</v>
      </c>
      <c r="F132">
        <v>137224</v>
      </c>
      <c r="G132">
        <v>144170</v>
      </c>
      <c r="H132">
        <v>150316</v>
      </c>
      <c r="I132">
        <v>155999</v>
      </c>
      <c r="J132">
        <v>161331</v>
      </c>
      <c r="K132">
        <v>166239</v>
      </c>
      <c r="L132">
        <v>170645</v>
      </c>
      <c r="M132">
        <v>174699</v>
      </c>
      <c r="N132">
        <v>178677</v>
      </c>
      <c r="O132">
        <v>182599</v>
      </c>
      <c r="P132">
        <v>186581</v>
      </c>
      <c r="Q132">
        <v>190469</v>
      </c>
      <c r="R132">
        <v>194390</v>
      </c>
      <c r="S132">
        <v>198279</v>
      </c>
      <c r="T132">
        <v>202256</v>
      </c>
      <c r="U132">
        <v>206284</v>
      </c>
      <c r="V132">
        <v>210326</v>
      </c>
      <c r="W132">
        <v>214229</v>
      </c>
      <c r="X132">
        <v>218147</v>
      </c>
      <c r="Y132">
        <v>222006</v>
      </c>
      <c r="Z132">
        <v>225821</v>
      </c>
      <c r="AA132">
        <v>229607</v>
      </c>
      <c r="AB132">
        <v>233383</v>
      </c>
      <c r="AC132">
        <v>237006</v>
      </c>
      <c r="AD132">
        <v>240599</v>
      </c>
      <c r="AE132">
        <v>244244</v>
      </c>
      <c r="AF132">
        <v>247950</v>
      </c>
    </row>
    <row r="133" spans="1:32" ht="15" customHeight="1" x14ac:dyDescent="0.25">
      <c r="A133" t="s">
        <v>477</v>
      </c>
    </row>
    <row r="134" spans="1:32" ht="15" customHeight="1" x14ac:dyDescent="0.25">
      <c r="A134" t="s">
        <v>478</v>
      </c>
    </row>
    <row r="135" spans="1:32" ht="15" customHeight="1" x14ac:dyDescent="0.25">
      <c r="A135" t="s">
        <v>479</v>
      </c>
    </row>
    <row r="136" spans="1:32" ht="15" customHeight="1" x14ac:dyDescent="0.25">
      <c r="A136" t="s">
        <v>480</v>
      </c>
    </row>
    <row r="137" spans="1:32" ht="15" customHeight="1" x14ac:dyDescent="0.25">
      <c r="A137" t="s">
        <v>481</v>
      </c>
    </row>
    <row r="138" spans="1:32" ht="15" customHeight="1" x14ac:dyDescent="0.25">
      <c r="A138" t="s">
        <v>482</v>
      </c>
    </row>
    <row r="139" spans="1:32" ht="15" customHeight="1" x14ac:dyDescent="0.25">
      <c r="A139" t="s">
        <v>1102</v>
      </c>
    </row>
    <row r="140" spans="1:32" ht="15" customHeight="1" x14ac:dyDescent="0.25">
      <c r="A140" t="s">
        <v>483</v>
      </c>
    </row>
    <row r="141" spans="1:32" ht="15" customHeight="1" x14ac:dyDescent="0.25">
      <c r="A141" t="s">
        <v>484</v>
      </c>
    </row>
    <row r="142" spans="1:32" ht="15" customHeight="1" x14ac:dyDescent="0.25">
      <c r="A142" t="s">
        <v>485</v>
      </c>
    </row>
    <row r="143" spans="1:32" ht="15" customHeight="1" x14ac:dyDescent="0.25">
      <c r="A143" t="s">
        <v>486</v>
      </c>
    </row>
    <row r="144" spans="1:32" ht="15" customHeight="1" x14ac:dyDescent="0.25">
      <c r="A144" t="s">
        <v>487</v>
      </c>
    </row>
    <row r="145" spans="1:32" ht="15" customHeight="1" x14ac:dyDescent="0.25">
      <c r="A145" t="s">
        <v>488</v>
      </c>
    </row>
    <row r="146" spans="1:32" ht="15" customHeight="1" x14ac:dyDescent="0.25">
      <c r="A146" t="s">
        <v>489</v>
      </c>
    </row>
    <row r="147" spans="1:32" ht="15" customHeight="1" x14ac:dyDescent="0.25">
      <c r="A147" t="s">
        <v>490</v>
      </c>
    </row>
    <row r="148" spans="1:32" ht="15" customHeight="1" x14ac:dyDescent="0.25">
      <c r="A148" t="s">
        <v>491</v>
      </c>
    </row>
    <row r="149" spans="1:32" ht="15" customHeight="1" x14ac:dyDescent="0.25">
      <c r="A149" t="s">
        <v>492</v>
      </c>
    </row>
    <row r="150" spans="1:32" ht="15" customHeight="1" x14ac:dyDescent="0.25">
      <c r="A150" t="s">
        <v>493</v>
      </c>
    </row>
    <row r="151" spans="1:32" ht="15" customHeight="1" x14ac:dyDescent="0.25">
      <c r="A151" t="s">
        <v>494</v>
      </c>
    </row>
    <row r="152" spans="1:32" ht="15" customHeight="1" x14ac:dyDescent="0.25">
      <c r="A152" t="s">
        <v>495</v>
      </c>
      <c r="B152">
        <v>64814</v>
      </c>
      <c r="C152">
        <v>83665</v>
      </c>
      <c r="D152">
        <v>97435</v>
      </c>
      <c r="E152">
        <v>108201</v>
      </c>
      <c r="F152">
        <v>116087</v>
      </c>
      <c r="G152">
        <v>122721</v>
      </c>
      <c r="H152">
        <v>128687</v>
      </c>
      <c r="I152">
        <v>134349</v>
      </c>
      <c r="J152">
        <v>139728</v>
      </c>
      <c r="K152">
        <v>144812</v>
      </c>
      <c r="L152">
        <v>149465</v>
      </c>
      <c r="M152">
        <v>153878</v>
      </c>
      <c r="N152">
        <v>158215</v>
      </c>
      <c r="O152">
        <v>162563</v>
      </c>
      <c r="P152">
        <v>166960</v>
      </c>
      <c r="Q152">
        <v>171337</v>
      </c>
      <c r="R152">
        <v>175730</v>
      </c>
      <c r="S152">
        <v>180171</v>
      </c>
      <c r="T152">
        <v>184672</v>
      </c>
      <c r="U152">
        <v>189290</v>
      </c>
      <c r="V152">
        <v>193924</v>
      </c>
      <c r="W152">
        <v>198493</v>
      </c>
      <c r="X152">
        <v>203073</v>
      </c>
      <c r="Y152">
        <v>207673</v>
      </c>
      <c r="Z152">
        <v>211950</v>
      </c>
      <c r="AA152">
        <v>216288</v>
      </c>
      <c r="AB152">
        <v>220622</v>
      </c>
      <c r="AC152">
        <v>224892</v>
      </c>
      <c r="AD152">
        <v>229119</v>
      </c>
      <c r="AE152">
        <v>233424</v>
      </c>
      <c r="AF152">
        <v>237812</v>
      </c>
    </row>
    <row r="153" spans="1:32" ht="15" customHeight="1" x14ac:dyDescent="0.25">
      <c r="A153" t="s">
        <v>496</v>
      </c>
    </row>
    <row r="154" spans="1:32" ht="15" customHeight="1" x14ac:dyDescent="0.25">
      <c r="A154" t="s">
        <v>497</v>
      </c>
    </row>
    <row r="155" spans="1:32" ht="15" customHeight="1" x14ac:dyDescent="0.25">
      <c r="A155" t="s">
        <v>498</v>
      </c>
    </row>
    <row r="156" spans="1:32" ht="15" customHeight="1" x14ac:dyDescent="0.25">
      <c r="A156" t="s">
        <v>499</v>
      </c>
    </row>
    <row r="157" spans="1:32" ht="15" customHeight="1" x14ac:dyDescent="0.25">
      <c r="A157" t="s">
        <v>500</v>
      </c>
    </row>
    <row r="158" spans="1:32" ht="15" customHeight="1" x14ac:dyDescent="0.25">
      <c r="A158" t="s">
        <v>501</v>
      </c>
    </row>
    <row r="159" spans="1:32" ht="15" customHeight="1" x14ac:dyDescent="0.25">
      <c r="A159" t="s">
        <v>502</v>
      </c>
    </row>
    <row r="160" spans="1:32" ht="15" customHeight="1" x14ac:dyDescent="0.25">
      <c r="A160" t="s">
        <v>503</v>
      </c>
    </row>
    <row r="161" spans="1:1" ht="15" customHeight="1" x14ac:dyDescent="0.25">
      <c r="A161" t="s">
        <v>504</v>
      </c>
    </row>
    <row r="162" spans="1:1" ht="15" customHeight="1" x14ac:dyDescent="0.25">
      <c r="A162" t="s">
        <v>505</v>
      </c>
    </row>
    <row r="163" spans="1:1" ht="15" customHeight="1" x14ac:dyDescent="0.25">
      <c r="A163" t="s">
        <v>506</v>
      </c>
    </row>
    <row r="164" spans="1:1" ht="15" customHeight="1" x14ac:dyDescent="0.25">
      <c r="A164" t="s">
        <v>507</v>
      </c>
    </row>
    <row r="165" spans="1:1" ht="15" customHeight="1" x14ac:dyDescent="0.25">
      <c r="A165" t="s">
        <v>508</v>
      </c>
    </row>
    <row r="166" spans="1:1" ht="15" customHeight="1" x14ac:dyDescent="0.25">
      <c r="A166" t="s">
        <v>509</v>
      </c>
    </row>
    <row r="167" spans="1:1" ht="15" customHeight="1" x14ac:dyDescent="0.25">
      <c r="A167" t="s">
        <v>510</v>
      </c>
    </row>
    <row r="168" spans="1:1" ht="15" customHeight="1" x14ac:dyDescent="0.25">
      <c r="A168" t="s">
        <v>511</v>
      </c>
    </row>
    <row r="169" spans="1:1" ht="15" customHeight="1" x14ac:dyDescent="0.25">
      <c r="A169" t="s">
        <v>512</v>
      </c>
    </row>
    <row r="170" spans="1:1" ht="15" customHeight="1" x14ac:dyDescent="0.25">
      <c r="A170" t="s">
        <v>513</v>
      </c>
    </row>
    <row r="171" spans="1:1" ht="15" customHeight="1" x14ac:dyDescent="0.25">
      <c r="A171" t="s">
        <v>514</v>
      </c>
    </row>
    <row r="172" spans="1:1" ht="15" customHeight="1" x14ac:dyDescent="0.25">
      <c r="A172" t="s">
        <v>515</v>
      </c>
    </row>
    <row r="173" spans="1:1" ht="15" customHeight="1" x14ac:dyDescent="0.25">
      <c r="A173" t="s">
        <v>516</v>
      </c>
    </row>
    <row r="174" spans="1:1" ht="15" customHeight="1" x14ac:dyDescent="0.25">
      <c r="A174" t="s">
        <v>517</v>
      </c>
    </row>
    <row r="175" spans="1:1" ht="15" customHeight="1" x14ac:dyDescent="0.25">
      <c r="A175" t="s">
        <v>518</v>
      </c>
    </row>
    <row r="176" spans="1:1" ht="15" customHeight="1" x14ac:dyDescent="0.25">
      <c r="A176" t="s">
        <v>519</v>
      </c>
    </row>
    <row r="177" spans="1:32" ht="15" customHeight="1" x14ac:dyDescent="0.25">
      <c r="A177" t="s">
        <v>520</v>
      </c>
    </row>
    <row r="178" spans="1:32" ht="15" customHeight="1" x14ac:dyDescent="0.25">
      <c r="A178" t="s">
        <v>521</v>
      </c>
    </row>
    <row r="179" spans="1:32" ht="15" customHeight="1" x14ac:dyDescent="0.25">
      <c r="A179" t="s">
        <v>522</v>
      </c>
    </row>
    <row r="180" spans="1:32" ht="15" customHeight="1" x14ac:dyDescent="0.25">
      <c r="A180" t="s">
        <v>523</v>
      </c>
    </row>
    <row r="181" spans="1:32" ht="15" customHeight="1" x14ac:dyDescent="0.25">
      <c r="A181" t="s">
        <v>524</v>
      </c>
    </row>
    <row r="182" spans="1:32" ht="15" customHeight="1" x14ac:dyDescent="0.25">
      <c r="A182" t="s">
        <v>525</v>
      </c>
    </row>
    <row r="183" spans="1:32" ht="15" customHeight="1" x14ac:dyDescent="0.25">
      <c r="A183" t="s">
        <v>526</v>
      </c>
    </row>
    <row r="184" spans="1:32" ht="15" customHeight="1" x14ac:dyDescent="0.25">
      <c r="A184" t="s">
        <v>527</v>
      </c>
    </row>
    <row r="185" spans="1:32" ht="15" customHeight="1" x14ac:dyDescent="0.25">
      <c r="A185" t="s">
        <v>528</v>
      </c>
    </row>
    <row r="186" spans="1:32" ht="15" customHeight="1" x14ac:dyDescent="0.25">
      <c r="A186" t="s">
        <v>529</v>
      </c>
    </row>
    <row r="187" spans="1:32" ht="15" customHeight="1" x14ac:dyDescent="0.25">
      <c r="A187" t="s">
        <v>530</v>
      </c>
    </row>
    <row r="188" spans="1:32" ht="15" customHeight="1" x14ac:dyDescent="0.25">
      <c r="A188" t="s">
        <v>531</v>
      </c>
    </row>
    <row r="189" spans="1:32" ht="15" customHeight="1" x14ac:dyDescent="0.25">
      <c r="A189" t="s">
        <v>532</v>
      </c>
    </row>
    <row r="190" spans="1:32" ht="15" customHeight="1" x14ac:dyDescent="0.25">
      <c r="A190" t="s">
        <v>533</v>
      </c>
    </row>
    <row r="191" spans="1:32" ht="15" customHeight="1" x14ac:dyDescent="0.25">
      <c r="A191" t="s">
        <v>534</v>
      </c>
      <c r="B191">
        <v>30343</v>
      </c>
      <c r="C191">
        <v>36636</v>
      </c>
      <c r="D191">
        <v>41541</v>
      </c>
      <c r="E191">
        <v>45435</v>
      </c>
      <c r="F191">
        <v>48358</v>
      </c>
      <c r="G191">
        <v>50915</v>
      </c>
      <c r="H191">
        <v>53324</v>
      </c>
      <c r="I191">
        <v>55575</v>
      </c>
      <c r="J191">
        <v>57768</v>
      </c>
      <c r="K191">
        <v>59800</v>
      </c>
      <c r="L191">
        <v>61699</v>
      </c>
      <c r="M191">
        <v>63525</v>
      </c>
      <c r="N191">
        <v>65286</v>
      </c>
      <c r="O191">
        <v>67077</v>
      </c>
      <c r="P191">
        <v>68845</v>
      </c>
      <c r="Q191">
        <v>70635</v>
      </c>
      <c r="R191">
        <v>72374</v>
      </c>
      <c r="S191">
        <v>74244</v>
      </c>
      <c r="T191">
        <v>76068</v>
      </c>
      <c r="U191">
        <v>77969</v>
      </c>
      <c r="V191">
        <v>79792</v>
      </c>
      <c r="W191">
        <v>81713</v>
      </c>
      <c r="X191">
        <v>83548</v>
      </c>
      <c r="Y191">
        <v>85421</v>
      </c>
      <c r="Z191">
        <v>87150</v>
      </c>
      <c r="AA191">
        <v>88931</v>
      </c>
      <c r="AB191">
        <v>90616</v>
      </c>
      <c r="AC191">
        <v>92386</v>
      </c>
      <c r="AD191">
        <v>94111</v>
      </c>
      <c r="AE191">
        <v>95869</v>
      </c>
      <c r="AF191">
        <v>97660</v>
      </c>
    </row>
    <row r="192" spans="1:32" ht="15" customHeight="1" x14ac:dyDescent="0.25">
      <c r="A192" t="s">
        <v>535</v>
      </c>
    </row>
    <row r="193" spans="1:32" ht="15" customHeight="1" x14ac:dyDescent="0.25">
      <c r="A193" t="s">
        <v>536</v>
      </c>
    </row>
    <row r="194" spans="1:32" ht="15" customHeight="1" x14ac:dyDescent="0.25">
      <c r="A194" t="s">
        <v>537</v>
      </c>
    </row>
    <row r="195" spans="1:32" ht="15" customHeight="1" x14ac:dyDescent="0.25">
      <c r="A195" t="s">
        <v>538</v>
      </c>
    </row>
    <row r="196" spans="1:32" ht="15" customHeight="1" x14ac:dyDescent="0.25">
      <c r="A196" t="s">
        <v>539</v>
      </c>
    </row>
    <row r="197" spans="1:32" ht="15" customHeight="1" x14ac:dyDescent="0.25">
      <c r="A197" t="s">
        <v>540</v>
      </c>
    </row>
    <row r="198" spans="1:32" ht="15" customHeight="1" x14ac:dyDescent="0.25">
      <c r="A198" t="s">
        <v>541</v>
      </c>
    </row>
    <row r="199" spans="1:32" ht="15" customHeight="1" x14ac:dyDescent="0.25">
      <c r="A199" t="s">
        <v>542</v>
      </c>
    </row>
    <row r="200" spans="1:32" ht="15" customHeight="1" x14ac:dyDescent="0.25">
      <c r="A200" t="s">
        <v>1103</v>
      </c>
    </row>
    <row r="201" spans="1:32" ht="15" customHeight="1" x14ac:dyDescent="0.25">
      <c r="A201" t="s">
        <v>543</v>
      </c>
    </row>
    <row r="202" spans="1:32" ht="15" customHeight="1" x14ac:dyDescent="0.25">
      <c r="A202" t="s">
        <v>544</v>
      </c>
      <c r="B202">
        <v>1425</v>
      </c>
      <c r="C202">
        <v>1690</v>
      </c>
      <c r="D202">
        <v>1907</v>
      </c>
      <c r="E202">
        <v>2082</v>
      </c>
      <c r="F202">
        <v>2226</v>
      </c>
      <c r="G202">
        <v>2356</v>
      </c>
      <c r="H202">
        <v>2472</v>
      </c>
      <c r="I202">
        <v>2590</v>
      </c>
      <c r="J202">
        <v>2704</v>
      </c>
      <c r="K202">
        <v>2813</v>
      </c>
      <c r="L202">
        <v>2914</v>
      </c>
      <c r="M202">
        <v>3017</v>
      </c>
      <c r="N202">
        <v>3112</v>
      </c>
      <c r="O202">
        <v>3214</v>
      </c>
      <c r="P202">
        <v>3310</v>
      </c>
      <c r="Q202">
        <v>3410</v>
      </c>
      <c r="R202">
        <v>3512</v>
      </c>
      <c r="S202">
        <v>3619</v>
      </c>
      <c r="T202">
        <v>3722</v>
      </c>
      <c r="U202">
        <v>3829</v>
      </c>
      <c r="V202">
        <v>3938</v>
      </c>
      <c r="W202">
        <v>4049</v>
      </c>
      <c r="X202">
        <v>4159</v>
      </c>
      <c r="Y202">
        <v>4274</v>
      </c>
      <c r="Z202">
        <v>4380</v>
      </c>
      <c r="AA202">
        <v>4490</v>
      </c>
      <c r="AB202">
        <v>4604</v>
      </c>
      <c r="AC202">
        <v>4710</v>
      </c>
      <c r="AD202">
        <v>4820</v>
      </c>
      <c r="AE202">
        <v>4932</v>
      </c>
      <c r="AF202">
        <v>5048</v>
      </c>
    </row>
    <row r="203" spans="1:32" ht="15" customHeight="1" x14ac:dyDescent="0.25">
      <c r="A203" t="s">
        <v>545</v>
      </c>
    </row>
    <row r="204" spans="1:32" ht="15" customHeight="1" x14ac:dyDescent="0.25">
      <c r="A204" t="s">
        <v>546</v>
      </c>
    </row>
    <row r="205" spans="1:32" ht="15" customHeight="1" x14ac:dyDescent="0.25">
      <c r="A205" t="s">
        <v>547</v>
      </c>
    </row>
    <row r="206" spans="1:32" ht="15" customHeight="1" x14ac:dyDescent="0.25">
      <c r="A206" t="s">
        <v>548</v>
      </c>
    </row>
    <row r="207" spans="1:32" ht="15" customHeight="1" x14ac:dyDescent="0.25">
      <c r="A207" t="s">
        <v>549</v>
      </c>
    </row>
    <row r="208" spans="1:32" ht="15" customHeight="1" x14ac:dyDescent="0.25">
      <c r="A208" t="s">
        <v>550</v>
      </c>
    </row>
    <row r="209" spans="1:1" ht="15" customHeight="1" x14ac:dyDescent="0.25">
      <c r="A209" t="s">
        <v>551</v>
      </c>
    </row>
    <row r="210" spans="1:1" ht="15" customHeight="1" x14ac:dyDescent="0.25">
      <c r="A210" t="s">
        <v>552</v>
      </c>
    </row>
    <row r="211" spans="1:1" ht="15" customHeight="1" x14ac:dyDescent="0.25">
      <c r="A211" t="s">
        <v>553</v>
      </c>
    </row>
    <row r="212" spans="1:1" ht="15" customHeight="1" x14ac:dyDescent="0.25">
      <c r="A212" t="s">
        <v>554</v>
      </c>
    </row>
    <row r="213" spans="1:1" ht="15" customHeight="1" x14ac:dyDescent="0.25">
      <c r="A213" t="s">
        <v>555</v>
      </c>
    </row>
    <row r="214" spans="1:1" ht="15" customHeight="1" x14ac:dyDescent="0.25">
      <c r="A214" t="s">
        <v>556</v>
      </c>
    </row>
    <row r="215" spans="1:1" ht="15" customHeight="1" x14ac:dyDescent="0.25">
      <c r="A215" t="s">
        <v>557</v>
      </c>
    </row>
    <row r="216" spans="1:1" ht="15" customHeight="1" x14ac:dyDescent="0.25">
      <c r="A216" t="s">
        <v>558</v>
      </c>
    </row>
    <row r="217" spans="1:1" ht="15" customHeight="1" x14ac:dyDescent="0.25">
      <c r="A217" t="s">
        <v>559</v>
      </c>
    </row>
    <row r="218" spans="1:1" ht="15" customHeight="1" x14ac:dyDescent="0.25">
      <c r="A218" t="s">
        <v>560</v>
      </c>
    </row>
    <row r="219" spans="1:1" ht="15" customHeight="1" x14ac:dyDescent="0.25">
      <c r="A219" t="s">
        <v>561</v>
      </c>
    </row>
    <row r="220" spans="1:1" ht="15" customHeight="1" x14ac:dyDescent="0.25">
      <c r="A220" t="s">
        <v>562</v>
      </c>
    </row>
    <row r="221" spans="1:1" ht="15" customHeight="1" x14ac:dyDescent="0.25">
      <c r="A221" t="s">
        <v>563</v>
      </c>
    </row>
    <row r="222" spans="1:1" ht="15" customHeight="1" x14ac:dyDescent="0.25">
      <c r="A222" t="s">
        <v>564</v>
      </c>
    </row>
    <row r="223" spans="1:1" ht="15" customHeight="1" x14ac:dyDescent="0.25">
      <c r="A223" t="s">
        <v>565</v>
      </c>
    </row>
    <row r="224" spans="1:1" ht="15" customHeight="1" x14ac:dyDescent="0.25">
      <c r="A224" t="s">
        <v>566</v>
      </c>
    </row>
    <row r="225" spans="1:1" ht="15" customHeight="1" x14ac:dyDescent="0.25">
      <c r="A225" t="s">
        <v>567</v>
      </c>
    </row>
    <row r="226" spans="1:1" ht="15" customHeight="1" x14ac:dyDescent="0.25">
      <c r="A226" t="s">
        <v>568</v>
      </c>
    </row>
    <row r="227" spans="1:1" ht="15" customHeight="1" x14ac:dyDescent="0.25">
      <c r="A227" t="s">
        <v>569</v>
      </c>
    </row>
    <row r="228" spans="1:1" ht="15" customHeight="1" x14ac:dyDescent="0.25">
      <c r="A228" t="s">
        <v>570</v>
      </c>
    </row>
    <row r="229" spans="1:1" ht="15" customHeight="1" x14ac:dyDescent="0.25">
      <c r="A229" t="s">
        <v>571</v>
      </c>
    </row>
    <row r="230" spans="1:1" ht="15" customHeight="1" x14ac:dyDescent="0.25">
      <c r="A230" t="s">
        <v>572</v>
      </c>
    </row>
    <row r="231" spans="1:1" ht="15" customHeight="1" x14ac:dyDescent="0.25">
      <c r="A231" t="s">
        <v>573</v>
      </c>
    </row>
    <row r="232" spans="1:1" ht="15" customHeight="1" x14ac:dyDescent="0.25">
      <c r="A232" t="s">
        <v>574</v>
      </c>
    </row>
    <row r="233" spans="1:1" ht="15" customHeight="1" x14ac:dyDescent="0.25">
      <c r="A233" t="s">
        <v>575</v>
      </c>
    </row>
    <row r="234" spans="1:1" ht="15" customHeight="1" x14ac:dyDescent="0.25">
      <c r="A234" t="s">
        <v>576</v>
      </c>
    </row>
    <row r="235" spans="1:1" ht="15" customHeight="1" x14ac:dyDescent="0.25">
      <c r="A235" t="s">
        <v>1104</v>
      </c>
    </row>
    <row r="236" spans="1:1" ht="15" customHeight="1" x14ac:dyDescent="0.25">
      <c r="A236" t="s">
        <v>577</v>
      </c>
    </row>
    <row r="237" spans="1:1" ht="15" customHeight="1" x14ac:dyDescent="0.25">
      <c r="A237" t="s">
        <v>1105</v>
      </c>
    </row>
    <row r="238" spans="1:1" ht="15" customHeight="1" x14ac:dyDescent="0.25">
      <c r="A238" t="s">
        <v>578</v>
      </c>
    </row>
    <row r="239" spans="1:1" ht="15" customHeight="1" x14ac:dyDescent="0.25">
      <c r="A239" t="s">
        <v>1106</v>
      </c>
    </row>
    <row r="240" spans="1:1" ht="15" customHeight="1" x14ac:dyDescent="0.25">
      <c r="A240" t="s">
        <v>579</v>
      </c>
    </row>
    <row r="241" spans="1:32" ht="15" customHeight="1" x14ac:dyDescent="0.25">
      <c r="A241" t="s">
        <v>1107</v>
      </c>
    </row>
    <row r="242" spans="1:32" ht="15" customHeight="1" x14ac:dyDescent="0.25">
      <c r="A242" t="s">
        <v>1108</v>
      </c>
    </row>
    <row r="243" spans="1:32" ht="15" customHeight="1" x14ac:dyDescent="0.25">
      <c r="A243" t="s">
        <v>580</v>
      </c>
    </row>
    <row r="244" spans="1:32" ht="15" customHeight="1" x14ac:dyDescent="0.25">
      <c r="A244" t="s">
        <v>581</v>
      </c>
    </row>
    <row r="245" spans="1:32" ht="15" customHeight="1" x14ac:dyDescent="0.25">
      <c r="A245" t="s">
        <v>1109</v>
      </c>
    </row>
    <row r="246" spans="1:32" ht="15" customHeight="1" x14ac:dyDescent="0.25">
      <c r="A246" t="s">
        <v>1110</v>
      </c>
    </row>
    <row r="247" spans="1:32" ht="15" customHeight="1" x14ac:dyDescent="0.25">
      <c r="A247" t="s">
        <v>1111</v>
      </c>
    </row>
    <row r="248" spans="1:32" ht="15" customHeight="1" x14ac:dyDescent="0.25">
      <c r="A248" t="s">
        <v>1112</v>
      </c>
    </row>
    <row r="249" spans="1:32" ht="15" customHeight="1" x14ac:dyDescent="0.25">
      <c r="A249" t="s">
        <v>582</v>
      </c>
    </row>
    <row r="250" spans="1:32" ht="15" customHeight="1" x14ac:dyDescent="0.25">
      <c r="A250" t="s">
        <v>583</v>
      </c>
    </row>
    <row r="251" spans="1:32" ht="15" customHeight="1" x14ac:dyDescent="0.25">
      <c r="A251" t="s">
        <v>1113</v>
      </c>
    </row>
    <row r="252" spans="1:32" ht="15" customHeight="1" x14ac:dyDescent="0.25">
      <c r="A252" t="s">
        <v>1114</v>
      </c>
    </row>
    <row r="253" spans="1:32" ht="15" customHeight="1" x14ac:dyDescent="0.25">
      <c r="A253" t="s">
        <v>1115</v>
      </c>
    </row>
    <row r="254" spans="1:32" ht="15" customHeight="1" x14ac:dyDescent="0.25">
      <c r="A254" t="s">
        <v>1116</v>
      </c>
    </row>
    <row r="255" spans="1:32" ht="15" customHeight="1" x14ac:dyDescent="0.25">
      <c r="A255" t="s">
        <v>1117</v>
      </c>
    </row>
    <row r="256" spans="1:32" ht="15" customHeight="1" x14ac:dyDescent="0.25">
      <c r="A256" t="s">
        <v>584</v>
      </c>
      <c r="B256">
        <v>824386</v>
      </c>
      <c r="C256">
        <v>985790</v>
      </c>
      <c r="D256">
        <v>1110444</v>
      </c>
      <c r="E256">
        <v>1209258</v>
      </c>
      <c r="F256">
        <v>1283805</v>
      </c>
      <c r="G256">
        <v>1347849</v>
      </c>
      <c r="H256">
        <v>1407180</v>
      </c>
      <c r="I256">
        <v>1463126</v>
      </c>
      <c r="J256">
        <v>1516972</v>
      </c>
      <c r="K256">
        <v>1567256</v>
      </c>
      <c r="L256">
        <v>1613586</v>
      </c>
      <c r="M256">
        <v>1656877</v>
      </c>
      <c r="N256">
        <v>1700195</v>
      </c>
      <c r="O256">
        <v>1743302</v>
      </c>
      <c r="P256">
        <v>1787754</v>
      </c>
      <c r="Q256">
        <v>1831530</v>
      </c>
      <c r="R256">
        <v>1876399</v>
      </c>
      <c r="S256">
        <v>1921309</v>
      </c>
      <c r="T256">
        <v>1967888</v>
      </c>
      <c r="U256">
        <v>2015255</v>
      </c>
      <c r="V256">
        <v>2063616</v>
      </c>
      <c r="W256">
        <v>2110987</v>
      </c>
      <c r="X256">
        <v>2159365</v>
      </c>
      <c r="Y256">
        <v>2207402</v>
      </c>
      <c r="Z256">
        <v>2257567</v>
      </c>
      <c r="AA256">
        <v>2308381</v>
      </c>
      <c r="AB256">
        <v>2360213</v>
      </c>
      <c r="AC256">
        <v>2410868</v>
      </c>
      <c r="AD256">
        <v>2462066</v>
      </c>
      <c r="AE256">
        <v>2514354</v>
      </c>
      <c r="AF256">
        <v>2567751</v>
      </c>
    </row>
    <row r="257" spans="1:32" ht="15" customHeight="1" x14ac:dyDescent="0.25">
      <c r="A257" t="s">
        <v>585</v>
      </c>
      <c r="B257">
        <v>182048</v>
      </c>
      <c r="C257">
        <v>215016</v>
      </c>
      <c r="D257">
        <v>240825</v>
      </c>
      <c r="E257">
        <v>261456</v>
      </c>
      <c r="F257">
        <v>274839</v>
      </c>
      <c r="G257">
        <v>284830</v>
      </c>
      <c r="H257">
        <v>293171</v>
      </c>
      <c r="I257">
        <v>301595</v>
      </c>
      <c r="J257">
        <v>311175</v>
      </c>
      <c r="K257">
        <v>320629</v>
      </c>
      <c r="L257">
        <v>329569</v>
      </c>
      <c r="M257">
        <v>337942</v>
      </c>
      <c r="N257">
        <v>346313</v>
      </c>
      <c r="O257">
        <v>354657</v>
      </c>
      <c r="P257">
        <v>363191</v>
      </c>
      <c r="Q257">
        <v>371566</v>
      </c>
      <c r="R257">
        <v>380084</v>
      </c>
      <c r="S257">
        <v>388539</v>
      </c>
      <c r="T257">
        <v>397312</v>
      </c>
      <c r="U257">
        <v>406163</v>
      </c>
      <c r="V257">
        <v>415175</v>
      </c>
      <c r="W257">
        <v>423928</v>
      </c>
      <c r="X257">
        <v>432788</v>
      </c>
      <c r="Y257">
        <v>441551</v>
      </c>
      <c r="Z257">
        <v>450530</v>
      </c>
      <c r="AA257">
        <v>459522</v>
      </c>
      <c r="AB257">
        <v>468602</v>
      </c>
      <c r="AC257">
        <v>477405</v>
      </c>
      <c r="AD257">
        <v>486248</v>
      </c>
      <c r="AE257">
        <v>495255</v>
      </c>
      <c r="AF257">
        <v>504432</v>
      </c>
    </row>
    <row r="258" spans="1:32" ht="15" customHeight="1" x14ac:dyDescent="0.25">
      <c r="A258" t="s">
        <v>586</v>
      </c>
      <c r="B258">
        <v>92499</v>
      </c>
      <c r="C258">
        <v>112081</v>
      </c>
      <c r="D258">
        <v>127043</v>
      </c>
      <c r="E258">
        <v>138765</v>
      </c>
      <c r="F258">
        <v>147539</v>
      </c>
      <c r="G258">
        <v>155009</v>
      </c>
      <c r="H258">
        <v>161870</v>
      </c>
      <c r="I258">
        <v>168976</v>
      </c>
      <c r="J258">
        <v>176866</v>
      </c>
      <c r="K258">
        <v>184891</v>
      </c>
      <c r="L258">
        <v>192777</v>
      </c>
      <c r="M258">
        <v>200525</v>
      </c>
      <c r="N258">
        <v>208452</v>
      </c>
      <c r="O258">
        <v>216514</v>
      </c>
      <c r="P258">
        <v>224903</v>
      </c>
      <c r="Q258">
        <v>233363</v>
      </c>
      <c r="R258">
        <v>242117</v>
      </c>
      <c r="S258">
        <v>251036</v>
      </c>
      <c r="T258">
        <v>260339</v>
      </c>
      <c r="U258">
        <v>269921</v>
      </c>
      <c r="V258">
        <v>279815</v>
      </c>
      <c r="W258">
        <v>289751</v>
      </c>
      <c r="X258">
        <v>300014</v>
      </c>
      <c r="Y258">
        <v>310432</v>
      </c>
      <c r="Z258">
        <v>321121</v>
      </c>
      <c r="AA258">
        <v>332008</v>
      </c>
      <c r="AB258">
        <v>343206</v>
      </c>
      <c r="AC258">
        <v>354442</v>
      </c>
      <c r="AD258">
        <v>365972</v>
      </c>
      <c r="AE258">
        <v>377884</v>
      </c>
      <c r="AF258">
        <v>390186</v>
      </c>
    </row>
    <row r="259" spans="1:32" ht="15" customHeight="1" x14ac:dyDescent="0.25">
      <c r="A259" t="s">
        <v>1118</v>
      </c>
    </row>
    <row r="260" spans="1:32" ht="15" customHeight="1" x14ac:dyDescent="0.25">
      <c r="A260" t="s">
        <v>587</v>
      </c>
      <c r="B260">
        <v>2902247</v>
      </c>
      <c r="C260">
        <v>3590872</v>
      </c>
      <c r="D260">
        <v>4090584</v>
      </c>
      <c r="E260">
        <v>4541772</v>
      </c>
      <c r="F260">
        <v>4868992</v>
      </c>
      <c r="G260">
        <v>5124458</v>
      </c>
      <c r="H260">
        <v>5353351</v>
      </c>
      <c r="I260">
        <v>5565414</v>
      </c>
      <c r="J260">
        <v>5766882</v>
      </c>
      <c r="K260">
        <v>5953976</v>
      </c>
      <c r="L260">
        <v>6125873</v>
      </c>
      <c r="M260">
        <v>6286054</v>
      </c>
      <c r="N260">
        <v>6445004</v>
      </c>
      <c r="O260">
        <v>6602045</v>
      </c>
      <c r="P260">
        <v>6762669</v>
      </c>
      <c r="Q260">
        <v>6919887</v>
      </c>
      <c r="R260">
        <v>7079709</v>
      </c>
      <c r="S260">
        <v>7238264</v>
      </c>
      <c r="T260">
        <v>7401422</v>
      </c>
      <c r="U260">
        <v>7566192</v>
      </c>
      <c r="V260">
        <v>7733112</v>
      </c>
      <c r="W260">
        <v>7895260</v>
      </c>
      <c r="X260">
        <v>8059536</v>
      </c>
      <c r="Y260">
        <v>8221745</v>
      </c>
      <c r="Z260">
        <v>8382977</v>
      </c>
      <c r="AA260">
        <v>8542617</v>
      </c>
      <c r="AB260">
        <v>8703378</v>
      </c>
      <c r="AC260">
        <v>8858687</v>
      </c>
      <c r="AD260">
        <v>9014444</v>
      </c>
      <c r="AE260">
        <v>9173137.6583999991</v>
      </c>
      <c r="AF260">
        <v>9334269.5787000004</v>
      </c>
    </row>
    <row r="261" spans="1:32" ht="15" customHeight="1" x14ac:dyDescent="0.25">
      <c r="A261" t="s">
        <v>588</v>
      </c>
      <c r="B261">
        <v>29471526</v>
      </c>
      <c r="C261">
        <v>41736887</v>
      </c>
      <c r="D261">
        <v>48200966</v>
      </c>
      <c r="E261">
        <v>52711411</v>
      </c>
      <c r="F261">
        <v>56032577</v>
      </c>
      <c r="G261">
        <v>58319736</v>
      </c>
      <c r="H261">
        <v>60302840</v>
      </c>
      <c r="I261">
        <v>62237380</v>
      </c>
      <c r="J261">
        <v>64062261</v>
      </c>
      <c r="K261">
        <v>65809374</v>
      </c>
      <c r="L261">
        <v>67381313</v>
      </c>
      <c r="M261">
        <v>68892016</v>
      </c>
      <c r="N261">
        <v>70348092</v>
      </c>
      <c r="O261">
        <v>71829411</v>
      </c>
      <c r="P261">
        <v>73297716</v>
      </c>
      <c r="Q261">
        <v>74779530</v>
      </c>
      <c r="R261">
        <v>76239209</v>
      </c>
      <c r="S261">
        <v>77732857</v>
      </c>
      <c r="T261">
        <v>79220308</v>
      </c>
      <c r="U261">
        <v>80768353</v>
      </c>
      <c r="V261">
        <v>82289284</v>
      </c>
      <c r="W261">
        <v>83816103</v>
      </c>
      <c r="X261">
        <v>85313983</v>
      </c>
      <c r="Y261">
        <v>86841820</v>
      </c>
      <c r="Z261">
        <v>88357365</v>
      </c>
      <c r="AA261">
        <v>89921410</v>
      </c>
      <c r="AB261">
        <v>91454123</v>
      </c>
      <c r="AC261">
        <v>92990524</v>
      </c>
      <c r="AD261">
        <v>94484997</v>
      </c>
      <c r="AE261">
        <v>96000301.840000004</v>
      </c>
      <c r="AF261">
        <v>97537141.629999995</v>
      </c>
    </row>
    <row r="262" spans="1:32" ht="15" customHeight="1" x14ac:dyDescent="0.25">
      <c r="A262" t="s">
        <v>589</v>
      </c>
      <c r="B262">
        <v>63483</v>
      </c>
      <c r="C262">
        <v>75785</v>
      </c>
      <c r="D262">
        <v>85947</v>
      </c>
      <c r="E262">
        <v>94488</v>
      </c>
      <c r="F262">
        <v>101363</v>
      </c>
      <c r="G262">
        <v>107571</v>
      </c>
      <c r="H262">
        <v>113518</v>
      </c>
      <c r="I262">
        <v>119300</v>
      </c>
      <c r="J262">
        <v>124993</v>
      </c>
      <c r="K262">
        <v>130492</v>
      </c>
      <c r="L262">
        <v>135741</v>
      </c>
      <c r="M262">
        <v>140807</v>
      </c>
      <c r="N262">
        <v>145944</v>
      </c>
      <c r="O262">
        <v>151126</v>
      </c>
      <c r="P262">
        <v>156504</v>
      </c>
      <c r="Q262">
        <v>161894</v>
      </c>
      <c r="R262">
        <v>167448</v>
      </c>
      <c r="S262">
        <v>173084</v>
      </c>
      <c r="T262">
        <v>178938</v>
      </c>
      <c r="U262">
        <v>184949</v>
      </c>
      <c r="V262">
        <v>191135</v>
      </c>
      <c r="W262">
        <v>197309</v>
      </c>
      <c r="X262">
        <v>203658</v>
      </c>
      <c r="Y262">
        <v>210072</v>
      </c>
      <c r="Z262">
        <v>216630</v>
      </c>
      <c r="AA262">
        <v>223281</v>
      </c>
      <c r="AB262">
        <v>230107</v>
      </c>
      <c r="AC262">
        <v>236909</v>
      </c>
      <c r="AD262">
        <v>243864</v>
      </c>
      <c r="AE262">
        <v>251034</v>
      </c>
      <c r="AF262">
        <v>258424</v>
      </c>
    </row>
    <row r="263" spans="1:32" ht="15" customHeight="1" x14ac:dyDescent="0.25">
      <c r="A263" t="s">
        <v>36</v>
      </c>
      <c r="B263" s="9">
        <v>16889</v>
      </c>
      <c r="C263" s="9">
        <v>22897</v>
      </c>
      <c r="D263" s="9">
        <v>27199</v>
      </c>
      <c r="E263" s="9">
        <v>30232</v>
      </c>
      <c r="F263" s="9">
        <v>32294</v>
      </c>
      <c r="G263" s="9">
        <v>33912</v>
      </c>
      <c r="H263" s="9">
        <v>35314</v>
      </c>
      <c r="I263" s="9">
        <v>36587</v>
      </c>
      <c r="J263" s="9">
        <v>37770</v>
      </c>
      <c r="K263" s="9">
        <v>38845</v>
      </c>
      <c r="L263" s="9">
        <v>39808</v>
      </c>
      <c r="M263" s="9">
        <v>40677</v>
      </c>
      <c r="N263" s="9">
        <v>41537</v>
      </c>
      <c r="O263" s="9">
        <v>42377</v>
      </c>
      <c r="P263" s="9">
        <v>43239</v>
      </c>
      <c r="Q263" s="9">
        <v>44069</v>
      </c>
      <c r="R263" s="9">
        <v>44905</v>
      </c>
      <c r="S263" s="9">
        <v>45733</v>
      </c>
      <c r="T263" s="9">
        <v>46583</v>
      </c>
      <c r="U263" s="9">
        <v>47436</v>
      </c>
      <c r="V263" s="9">
        <v>48299</v>
      </c>
      <c r="W263" s="9">
        <v>49119</v>
      </c>
      <c r="X263" s="9">
        <v>49946</v>
      </c>
      <c r="Y263" s="9">
        <v>50750</v>
      </c>
      <c r="Z263" s="9">
        <v>51525</v>
      </c>
      <c r="AA263" s="9">
        <v>52270</v>
      </c>
      <c r="AB263" s="9">
        <v>53010</v>
      </c>
      <c r="AC263" s="9">
        <v>53703</v>
      </c>
      <c r="AD263" s="9">
        <v>54389</v>
      </c>
      <c r="AE263" s="9">
        <v>55090</v>
      </c>
      <c r="AF263" s="9">
        <v>55806</v>
      </c>
    </row>
    <row r="264" spans="1:32" x14ac:dyDescent="0.25">
      <c r="A264" t="s">
        <v>590</v>
      </c>
      <c r="B264">
        <v>288242</v>
      </c>
      <c r="C264">
        <v>347949</v>
      </c>
      <c r="D264">
        <v>392055</v>
      </c>
      <c r="E264">
        <v>427273</v>
      </c>
      <c r="F264">
        <v>452055</v>
      </c>
      <c r="G264">
        <v>474039</v>
      </c>
      <c r="H264">
        <v>492905</v>
      </c>
      <c r="I264">
        <v>512860</v>
      </c>
      <c r="J264">
        <v>532255</v>
      </c>
      <c r="K264">
        <v>552620</v>
      </c>
      <c r="L264">
        <v>570599</v>
      </c>
      <c r="M264">
        <v>589011</v>
      </c>
      <c r="N264">
        <v>606261</v>
      </c>
      <c r="O264">
        <v>624855</v>
      </c>
      <c r="P264">
        <v>642533</v>
      </c>
      <c r="Q264">
        <v>661621</v>
      </c>
      <c r="R264">
        <v>679678</v>
      </c>
      <c r="S264">
        <v>699177</v>
      </c>
      <c r="T264">
        <v>717498</v>
      </c>
      <c r="U264">
        <v>737918</v>
      </c>
      <c r="V264">
        <v>756869</v>
      </c>
      <c r="W264">
        <v>777413</v>
      </c>
      <c r="X264">
        <v>796564</v>
      </c>
      <c r="Y264">
        <v>817537</v>
      </c>
      <c r="Z264">
        <v>835609</v>
      </c>
      <c r="AA264">
        <v>855541</v>
      </c>
      <c r="AB264">
        <v>874065</v>
      </c>
      <c r="AC264">
        <v>894251</v>
      </c>
      <c r="AD264">
        <v>912335</v>
      </c>
      <c r="AE264">
        <v>930790</v>
      </c>
      <c r="AF264">
        <v>949618</v>
      </c>
    </row>
    <row r="265" spans="1:32" ht="15" customHeight="1" x14ac:dyDescent="0.25">
      <c r="A265" t="s">
        <v>591</v>
      </c>
      <c r="B265">
        <v>191353</v>
      </c>
      <c r="C265">
        <v>232215</v>
      </c>
      <c r="D265">
        <v>266050</v>
      </c>
      <c r="E265">
        <v>294458</v>
      </c>
      <c r="F265">
        <v>316784</v>
      </c>
      <c r="G265">
        <v>336590</v>
      </c>
      <c r="H265">
        <v>355308</v>
      </c>
      <c r="I265">
        <v>373368</v>
      </c>
      <c r="J265">
        <v>390985</v>
      </c>
      <c r="K265">
        <v>407880</v>
      </c>
      <c r="L265">
        <v>423893</v>
      </c>
      <c r="M265">
        <v>439211</v>
      </c>
      <c r="N265">
        <v>454654</v>
      </c>
      <c r="O265">
        <v>470149</v>
      </c>
      <c r="P265">
        <v>486104</v>
      </c>
      <c r="Q265">
        <v>501971</v>
      </c>
      <c r="R265">
        <v>518256</v>
      </c>
      <c r="S265">
        <v>534551</v>
      </c>
      <c r="T265">
        <v>551484</v>
      </c>
      <c r="U265">
        <v>568711</v>
      </c>
      <c r="V265">
        <v>586305</v>
      </c>
      <c r="W265">
        <v>603669</v>
      </c>
      <c r="X265">
        <v>621520</v>
      </c>
      <c r="Y265">
        <v>639355</v>
      </c>
      <c r="Z265">
        <v>655372</v>
      </c>
      <c r="AA265">
        <v>671512</v>
      </c>
      <c r="AB265">
        <v>687967</v>
      </c>
      <c r="AC265">
        <v>704247</v>
      </c>
      <c r="AD265">
        <v>720726</v>
      </c>
      <c r="AE265">
        <v>737611</v>
      </c>
      <c r="AF265">
        <v>754907</v>
      </c>
    </row>
    <row r="266" spans="1:32" ht="15" customHeight="1" x14ac:dyDescent="0.25">
      <c r="A266" t="s">
        <v>592</v>
      </c>
      <c r="B266">
        <v>310704</v>
      </c>
      <c r="C266">
        <v>361090</v>
      </c>
      <c r="D266">
        <v>401422</v>
      </c>
      <c r="E266">
        <v>434016</v>
      </c>
      <c r="F266">
        <v>458521</v>
      </c>
      <c r="G266">
        <v>479427</v>
      </c>
      <c r="H266">
        <v>498571</v>
      </c>
      <c r="I266">
        <v>517324</v>
      </c>
      <c r="J266">
        <v>536558</v>
      </c>
      <c r="K266">
        <v>555035</v>
      </c>
      <c r="L266">
        <v>572276</v>
      </c>
      <c r="M266">
        <v>588439</v>
      </c>
      <c r="N266">
        <v>604544</v>
      </c>
      <c r="O266">
        <v>620501</v>
      </c>
      <c r="P266">
        <v>636858</v>
      </c>
      <c r="Q266">
        <v>652834</v>
      </c>
      <c r="R266">
        <v>669102</v>
      </c>
      <c r="S266">
        <v>685276</v>
      </c>
      <c r="T266">
        <v>701898</v>
      </c>
      <c r="U266">
        <v>718717</v>
      </c>
      <c r="V266">
        <v>735770</v>
      </c>
      <c r="W266">
        <v>752322</v>
      </c>
      <c r="X266">
        <v>769138</v>
      </c>
      <c r="Y266">
        <v>785763</v>
      </c>
      <c r="Z266">
        <v>802147</v>
      </c>
      <c r="AA266">
        <v>818311</v>
      </c>
      <c r="AB266">
        <v>834586</v>
      </c>
      <c r="AC266">
        <v>850303</v>
      </c>
      <c r="AD266">
        <v>866111</v>
      </c>
      <c r="AE266">
        <v>882213</v>
      </c>
      <c r="AF266">
        <v>898615</v>
      </c>
    </row>
    <row r="267" spans="1:32" ht="15" customHeight="1" x14ac:dyDescent="0.25">
      <c r="A267" t="s">
        <v>39</v>
      </c>
      <c r="B267" s="9">
        <v>21099</v>
      </c>
      <c r="C267" s="9">
        <v>25525</v>
      </c>
      <c r="D267" s="9">
        <v>28932</v>
      </c>
      <c r="E267" s="9">
        <v>31608</v>
      </c>
      <c r="F267" s="9">
        <v>33605</v>
      </c>
      <c r="G267" s="9">
        <v>35302</v>
      </c>
      <c r="H267" s="9">
        <v>36855</v>
      </c>
      <c r="I267" s="9">
        <v>38326</v>
      </c>
      <c r="J267" s="9">
        <v>39754</v>
      </c>
      <c r="K267" s="9">
        <v>41096</v>
      </c>
      <c r="L267" s="9">
        <v>42329</v>
      </c>
      <c r="M267" s="9">
        <v>43485</v>
      </c>
      <c r="N267" s="9">
        <v>44636</v>
      </c>
      <c r="O267" s="9">
        <v>45782</v>
      </c>
      <c r="P267" s="9">
        <v>46956</v>
      </c>
      <c r="Q267" s="9">
        <v>48117</v>
      </c>
      <c r="R267" s="9">
        <v>49295</v>
      </c>
      <c r="S267" s="9">
        <v>50478</v>
      </c>
      <c r="T267" s="9">
        <v>51697</v>
      </c>
      <c r="U267" s="9">
        <v>52936</v>
      </c>
      <c r="V267" s="9">
        <v>54195</v>
      </c>
      <c r="W267" s="9">
        <v>55431</v>
      </c>
      <c r="X267" s="9">
        <v>56685</v>
      </c>
      <c r="Y267" s="9">
        <v>57936</v>
      </c>
      <c r="Z267" s="9">
        <v>59209</v>
      </c>
      <c r="AA267" s="9">
        <v>60492</v>
      </c>
      <c r="AB267" s="9">
        <v>61790</v>
      </c>
      <c r="AC267" s="9">
        <v>63060</v>
      </c>
      <c r="AD267" s="9">
        <v>64337</v>
      </c>
      <c r="AE267" s="9">
        <v>65641</v>
      </c>
      <c r="AF267" s="9">
        <v>66972</v>
      </c>
    </row>
    <row r="268" spans="1:32" x14ac:dyDescent="0.25">
      <c r="A268" t="s">
        <v>593</v>
      </c>
    </row>
    <row r="269" spans="1:32" ht="15" customHeight="1" x14ac:dyDescent="0.25">
      <c r="A269" t="s">
        <v>594</v>
      </c>
      <c r="B269">
        <v>1867515</v>
      </c>
      <c r="C269">
        <v>2249407</v>
      </c>
      <c r="D269">
        <v>2543243</v>
      </c>
      <c r="E269">
        <v>2776703</v>
      </c>
      <c r="F269">
        <v>2953665</v>
      </c>
      <c r="G269">
        <v>3105335</v>
      </c>
      <c r="H269">
        <v>3245458</v>
      </c>
      <c r="I269">
        <v>3377030</v>
      </c>
      <c r="J269">
        <v>3502937</v>
      </c>
      <c r="K269">
        <v>3619869</v>
      </c>
      <c r="L269">
        <v>3726869</v>
      </c>
      <c r="M269">
        <v>3826128</v>
      </c>
      <c r="N269">
        <v>3924549</v>
      </c>
      <c r="O269">
        <v>4021661</v>
      </c>
      <c r="P269">
        <v>4121017</v>
      </c>
      <c r="Q269">
        <v>4217991</v>
      </c>
      <c r="R269">
        <v>4316592</v>
      </c>
      <c r="S269">
        <v>4414333</v>
      </c>
      <c r="T269">
        <v>4514929</v>
      </c>
      <c r="U269">
        <v>4616319</v>
      </c>
      <c r="V269">
        <v>4719060</v>
      </c>
      <c r="W269">
        <v>4818607</v>
      </c>
      <c r="X269">
        <v>4919549</v>
      </c>
      <c r="Y269">
        <v>5019010</v>
      </c>
      <c r="Z269">
        <v>5117837</v>
      </c>
      <c r="AA269">
        <v>5215166</v>
      </c>
      <c r="AB269">
        <v>5313112</v>
      </c>
      <c r="AC269">
        <v>5407365</v>
      </c>
      <c r="AD269">
        <v>5501880</v>
      </c>
      <c r="AE269">
        <v>5598050.1625600001</v>
      </c>
      <c r="AF269">
        <v>5695893.01798</v>
      </c>
    </row>
    <row r="270" spans="1:32" ht="15" customHeight="1" x14ac:dyDescent="0.25">
      <c r="A270" t="s">
        <v>595</v>
      </c>
    </row>
    <row r="271" spans="1:32" ht="15" customHeight="1" x14ac:dyDescent="0.25">
      <c r="A271" t="s">
        <v>596</v>
      </c>
      <c r="B271">
        <v>431932</v>
      </c>
      <c r="C271">
        <v>524853</v>
      </c>
      <c r="D271">
        <v>596481</v>
      </c>
      <c r="E271">
        <v>654679</v>
      </c>
      <c r="F271">
        <v>698542</v>
      </c>
      <c r="G271">
        <v>737633</v>
      </c>
      <c r="H271">
        <v>772901</v>
      </c>
      <c r="I271">
        <v>807849</v>
      </c>
      <c r="J271">
        <v>840538</v>
      </c>
      <c r="K271">
        <v>872806</v>
      </c>
      <c r="L271">
        <v>901490</v>
      </c>
      <c r="M271">
        <v>929912</v>
      </c>
      <c r="N271">
        <v>956967</v>
      </c>
      <c r="O271">
        <v>985297</v>
      </c>
      <c r="P271">
        <v>1012838</v>
      </c>
      <c r="Q271">
        <v>1041549</v>
      </c>
      <c r="R271">
        <v>1069307</v>
      </c>
      <c r="S271">
        <v>1098637</v>
      </c>
      <c r="T271">
        <v>1126771</v>
      </c>
      <c r="U271">
        <v>1157049</v>
      </c>
      <c r="V271">
        <v>1186093</v>
      </c>
      <c r="W271">
        <v>1216336</v>
      </c>
      <c r="X271">
        <v>1245118</v>
      </c>
      <c r="Y271">
        <v>1275882</v>
      </c>
      <c r="Z271">
        <v>1304802</v>
      </c>
      <c r="AA271">
        <v>1336183</v>
      </c>
      <c r="AB271">
        <v>1366088</v>
      </c>
      <c r="AC271">
        <v>1397603</v>
      </c>
      <c r="AD271">
        <v>1427041</v>
      </c>
      <c r="AE271">
        <v>1457099</v>
      </c>
      <c r="AF271">
        <v>1487790</v>
      </c>
    </row>
    <row r="272" spans="1:32" ht="15" customHeight="1" x14ac:dyDescent="0.25">
      <c r="A272" t="s">
        <v>597</v>
      </c>
    </row>
    <row r="273" spans="1:32" ht="15" customHeight="1" x14ac:dyDescent="0.25">
      <c r="A273" t="s">
        <v>598</v>
      </c>
      <c r="B273">
        <v>15296</v>
      </c>
      <c r="C273">
        <v>21331</v>
      </c>
      <c r="D273">
        <v>25621</v>
      </c>
      <c r="E273">
        <v>28592</v>
      </c>
      <c r="F273">
        <v>30587</v>
      </c>
      <c r="G273">
        <v>32132</v>
      </c>
      <c r="H273">
        <v>33469</v>
      </c>
      <c r="I273">
        <v>34679</v>
      </c>
      <c r="J273">
        <v>35819</v>
      </c>
      <c r="K273">
        <v>36862</v>
      </c>
      <c r="L273">
        <v>37806</v>
      </c>
      <c r="M273">
        <v>38674</v>
      </c>
      <c r="N273">
        <v>39538</v>
      </c>
      <c r="O273">
        <v>40394</v>
      </c>
      <c r="P273">
        <v>41277</v>
      </c>
      <c r="Q273">
        <v>42142</v>
      </c>
      <c r="R273">
        <v>43027</v>
      </c>
      <c r="S273">
        <v>43906</v>
      </c>
      <c r="T273">
        <v>44818</v>
      </c>
      <c r="U273">
        <v>45743</v>
      </c>
      <c r="V273">
        <v>46682</v>
      </c>
      <c r="W273">
        <v>47593</v>
      </c>
      <c r="X273">
        <v>48516</v>
      </c>
      <c r="Y273">
        <v>49425</v>
      </c>
      <c r="Z273">
        <v>50357</v>
      </c>
      <c r="AA273">
        <v>51293</v>
      </c>
      <c r="AB273">
        <v>52239</v>
      </c>
      <c r="AC273">
        <v>53151</v>
      </c>
      <c r="AD273">
        <v>54066</v>
      </c>
      <c r="AE273">
        <v>54996</v>
      </c>
      <c r="AF273">
        <v>55942</v>
      </c>
    </row>
    <row r="274" spans="1:32" ht="15" customHeight="1" x14ac:dyDescent="0.25">
      <c r="A274" t="s">
        <v>599</v>
      </c>
      <c r="B274">
        <v>7221305</v>
      </c>
      <c r="C274">
        <v>8746218</v>
      </c>
      <c r="D274">
        <v>9854666</v>
      </c>
      <c r="E274">
        <v>10739888</v>
      </c>
      <c r="F274">
        <v>11424645</v>
      </c>
      <c r="G274">
        <v>12007958</v>
      </c>
      <c r="H274">
        <v>12553606</v>
      </c>
      <c r="I274">
        <v>13079111</v>
      </c>
      <c r="J274">
        <v>13597605</v>
      </c>
      <c r="K274">
        <v>14092417</v>
      </c>
      <c r="L274">
        <v>14557775</v>
      </c>
      <c r="M274">
        <v>15000492</v>
      </c>
      <c r="N274">
        <v>15446454</v>
      </c>
      <c r="O274">
        <v>15893559</v>
      </c>
      <c r="P274">
        <v>16355565</v>
      </c>
      <c r="Q274">
        <v>16814666</v>
      </c>
      <c r="R274">
        <v>17286568</v>
      </c>
      <c r="S274">
        <v>17761706</v>
      </c>
      <c r="T274">
        <v>18254863</v>
      </c>
      <c r="U274">
        <v>18758722</v>
      </c>
      <c r="V274">
        <v>19274716</v>
      </c>
      <c r="W274">
        <v>19785271</v>
      </c>
      <c r="X274">
        <v>20308144</v>
      </c>
      <c r="Y274">
        <v>20831733</v>
      </c>
      <c r="Z274">
        <v>21373937</v>
      </c>
      <c r="AA274">
        <v>21923563</v>
      </c>
      <c r="AB274">
        <v>22485287</v>
      </c>
      <c r="AC274">
        <v>23039611</v>
      </c>
      <c r="AD274">
        <v>23602693</v>
      </c>
      <c r="AE274">
        <v>24179573.1961</v>
      </c>
      <c r="AF274">
        <v>24770591.3079</v>
      </c>
    </row>
    <row r="275" spans="1:32" ht="15" customHeight="1" x14ac:dyDescent="0.25">
      <c r="A275" t="s">
        <v>600</v>
      </c>
      <c r="B275">
        <v>41886</v>
      </c>
      <c r="C275">
        <v>49489</v>
      </c>
      <c r="D275">
        <v>54963</v>
      </c>
      <c r="E275">
        <v>58987</v>
      </c>
      <c r="F275">
        <v>61682</v>
      </c>
      <c r="G275">
        <v>63771</v>
      </c>
      <c r="H275">
        <v>65577</v>
      </c>
      <c r="I275">
        <v>67185</v>
      </c>
      <c r="J275">
        <v>68682</v>
      </c>
      <c r="K275">
        <v>69983</v>
      </c>
      <c r="L275">
        <v>71092</v>
      </c>
      <c r="M275">
        <v>72032</v>
      </c>
      <c r="N275">
        <v>72950</v>
      </c>
      <c r="O275">
        <v>73845</v>
      </c>
      <c r="P275">
        <v>74761</v>
      </c>
      <c r="Q275">
        <v>75631</v>
      </c>
      <c r="R275">
        <v>76515</v>
      </c>
      <c r="S275">
        <v>77372</v>
      </c>
      <c r="T275">
        <v>78275</v>
      </c>
      <c r="U275">
        <v>79176</v>
      </c>
      <c r="V275">
        <v>80089</v>
      </c>
      <c r="W275">
        <v>80932</v>
      </c>
      <c r="X275">
        <v>81772</v>
      </c>
      <c r="Y275">
        <v>82569</v>
      </c>
      <c r="Z275">
        <v>83433</v>
      </c>
      <c r="AA275">
        <v>84291</v>
      </c>
      <c r="AB275">
        <v>85145</v>
      </c>
      <c r="AC275">
        <v>85923</v>
      </c>
      <c r="AD275">
        <v>86678</v>
      </c>
      <c r="AE275">
        <v>87441</v>
      </c>
      <c r="AF275">
        <v>88213</v>
      </c>
    </row>
    <row r="276" spans="1:32" ht="15" customHeight="1" x14ac:dyDescent="0.25">
      <c r="A276" t="s">
        <v>601</v>
      </c>
      <c r="B276">
        <v>120972</v>
      </c>
      <c r="C276">
        <v>143381</v>
      </c>
      <c r="D276">
        <v>160493</v>
      </c>
      <c r="E276">
        <v>173783</v>
      </c>
      <c r="F276">
        <v>183496</v>
      </c>
      <c r="G276">
        <v>191614</v>
      </c>
      <c r="H276">
        <v>198979</v>
      </c>
      <c r="I276">
        <v>205774</v>
      </c>
      <c r="J276">
        <v>212163</v>
      </c>
      <c r="K276">
        <v>217990</v>
      </c>
      <c r="L276">
        <v>223176</v>
      </c>
      <c r="M276">
        <v>227886</v>
      </c>
      <c r="N276">
        <v>232519</v>
      </c>
      <c r="O276">
        <v>237073</v>
      </c>
      <c r="P276">
        <v>241742</v>
      </c>
      <c r="Q276">
        <v>246266</v>
      </c>
      <c r="R276">
        <v>250874</v>
      </c>
      <c r="S276">
        <v>255427</v>
      </c>
      <c r="T276">
        <v>260140</v>
      </c>
      <c r="U276">
        <v>264910</v>
      </c>
      <c r="V276">
        <v>269754</v>
      </c>
      <c r="W276">
        <v>274401</v>
      </c>
      <c r="X276">
        <v>279128</v>
      </c>
      <c r="Y276">
        <v>283747</v>
      </c>
      <c r="Z276">
        <v>288767</v>
      </c>
      <c r="AA276">
        <v>293827</v>
      </c>
      <c r="AB276">
        <v>298954</v>
      </c>
      <c r="AC276">
        <v>303883</v>
      </c>
      <c r="AD276">
        <v>308825</v>
      </c>
      <c r="AE276">
        <v>313851</v>
      </c>
      <c r="AF276">
        <v>318954</v>
      </c>
    </row>
    <row r="277" spans="1:32" ht="15" customHeight="1" x14ac:dyDescent="0.25">
      <c r="A277" t="s">
        <v>602</v>
      </c>
    </row>
    <row r="278" spans="1:32" ht="15" customHeight="1" x14ac:dyDescent="0.25">
      <c r="A278" t="s">
        <v>603</v>
      </c>
    </row>
    <row r="279" spans="1:32" ht="15" customHeight="1" x14ac:dyDescent="0.25">
      <c r="A279" t="s">
        <v>604</v>
      </c>
      <c r="B279">
        <v>110286</v>
      </c>
      <c r="C279">
        <v>141118</v>
      </c>
      <c r="D279">
        <v>162991</v>
      </c>
      <c r="E279">
        <v>179715</v>
      </c>
      <c r="F279">
        <v>191520</v>
      </c>
      <c r="G279">
        <v>201059</v>
      </c>
      <c r="H279">
        <v>209468</v>
      </c>
      <c r="I279">
        <v>217202</v>
      </c>
      <c r="J279">
        <v>224450</v>
      </c>
      <c r="K279">
        <v>231108</v>
      </c>
      <c r="L279">
        <v>237061</v>
      </c>
      <c r="M279">
        <v>242540</v>
      </c>
      <c r="N279">
        <v>247887</v>
      </c>
      <c r="O279">
        <v>253196</v>
      </c>
      <c r="P279">
        <v>258582</v>
      </c>
      <c r="Q279">
        <v>263839</v>
      </c>
      <c r="R279">
        <v>269147</v>
      </c>
      <c r="S279">
        <v>274441</v>
      </c>
      <c r="T279">
        <v>279854</v>
      </c>
      <c r="U279">
        <v>285362</v>
      </c>
      <c r="V279">
        <v>290905</v>
      </c>
      <c r="W279">
        <v>296295</v>
      </c>
      <c r="X279">
        <v>301692</v>
      </c>
      <c r="Y279">
        <v>307038</v>
      </c>
      <c r="Z279">
        <v>312660</v>
      </c>
      <c r="AA279">
        <v>318286</v>
      </c>
      <c r="AB279">
        <v>323929</v>
      </c>
      <c r="AC279">
        <v>329392</v>
      </c>
      <c r="AD279">
        <v>334811</v>
      </c>
      <c r="AE279">
        <v>340319</v>
      </c>
      <c r="AF279">
        <v>345919</v>
      </c>
    </row>
    <row r="280" spans="1:32" ht="15" customHeight="1" x14ac:dyDescent="0.25">
      <c r="A280" t="s">
        <v>605</v>
      </c>
      <c r="B280">
        <v>6135</v>
      </c>
      <c r="C280">
        <v>7588</v>
      </c>
      <c r="D280">
        <v>8703</v>
      </c>
      <c r="E280">
        <v>9558</v>
      </c>
      <c r="F280">
        <v>10209</v>
      </c>
      <c r="G280">
        <v>10750</v>
      </c>
      <c r="H280">
        <v>11249</v>
      </c>
      <c r="I280">
        <v>11731</v>
      </c>
      <c r="J280">
        <v>12178</v>
      </c>
      <c r="K280">
        <v>12609</v>
      </c>
      <c r="L280">
        <v>12987</v>
      </c>
      <c r="M280">
        <v>13348</v>
      </c>
      <c r="N280">
        <v>13700</v>
      </c>
      <c r="O280">
        <v>14054</v>
      </c>
      <c r="P280">
        <v>14412</v>
      </c>
      <c r="Q280">
        <v>14774</v>
      </c>
      <c r="R280">
        <v>15133</v>
      </c>
      <c r="S280">
        <v>15499</v>
      </c>
      <c r="T280">
        <v>15862</v>
      </c>
      <c r="U280">
        <v>16232</v>
      </c>
      <c r="V280">
        <v>16607</v>
      </c>
      <c r="W280">
        <v>16986</v>
      </c>
      <c r="X280">
        <v>17346</v>
      </c>
      <c r="Y280">
        <v>17716</v>
      </c>
      <c r="Z280">
        <v>18085</v>
      </c>
      <c r="AA280">
        <v>18441</v>
      </c>
      <c r="AB280">
        <v>18818</v>
      </c>
      <c r="AC280">
        <v>19165</v>
      </c>
      <c r="AD280">
        <v>19513</v>
      </c>
      <c r="AE280">
        <v>19869</v>
      </c>
      <c r="AF280">
        <v>20231</v>
      </c>
    </row>
    <row r="281" spans="1:32" ht="15" customHeight="1" x14ac:dyDescent="0.25">
      <c r="A281" t="s">
        <v>606</v>
      </c>
    </row>
    <row r="282" spans="1:32" ht="15" customHeight="1" x14ac:dyDescent="0.25">
      <c r="A282" t="s">
        <v>1119</v>
      </c>
    </row>
    <row r="283" spans="1:32" ht="15" customHeight="1" x14ac:dyDescent="0.25">
      <c r="A283" t="s">
        <v>1259</v>
      </c>
    </row>
    <row r="284" spans="1:32" ht="15" customHeight="1" x14ac:dyDescent="0.25">
      <c r="A284" t="s">
        <v>608</v>
      </c>
    </row>
    <row r="285" spans="1:32" ht="15" customHeight="1" x14ac:dyDescent="0.25">
      <c r="A285" t="s">
        <v>43</v>
      </c>
      <c r="B285" s="9">
        <v>1182</v>
      </c>
      <c r="C285" s="9">
        <v>1501</v>
      </c>
      <c r="D285" s="9">
        <v>1734</v>
      </c>
      <c r="E285" s="9">
        <v>1910</v>
      </c>
      <c r="F285" s="9">
        <v>2038</v>
      </c>
      <c r="G285" s="9">
        <v>2143</v>
      </c>
      <c r="H285" s="9">
        <v>2240</v>
      </c>
      <c r="I285" s="9">
        <v>2330</v>
      </c>
      <c r="J285" s="9">
        <v>2416</v>
      </c>
      <c r="K285" s="9">
        <v>2494</v>
      </c>
      <c r="L285" s="9">
        <v>2566</v>
      </c>
      <c r="M285" s="9">
        <v>2633</v>
      </c>
      <c r="N285" s="9">
        <v>2699</v>
      </c>
      <c r="O285" s="9">
        <v>2764</v>
      </c>
      <c r="P285" s="9">
        <v>2830</v>
      </c>
      <c r="Q285" s="9">
        <v>2896</v>
      </c>
      <c r="R285" s="9">
        <v>2962</v>
      </c>
      <c r="S285" s="9">
        <v>3026</v>
      </c>
      <c r="T285" s="9">
        <v>3093</v>
      </c>
      <c r="U285" s="9">
        <v>3160</v>
      </c>
      <c r="V285" s="9">
        <v>3229</v>
      </c>
      <c r="W285" s="9">
        <v>3293</v>
      </c>
      <c r="X285" s="9">
        <v>3358</v>
      </c>
      <c r="Y285" s="9">
        <v>3422</v>
      </c>
      <c r="Z285" s="9">
        <v>3483</v>
      </c>
      <c r="AA285" s="9">
        <v>3541</v>
      </c>
      <c r="AB285" s="9">
        <v>3599</v>
      </c>
      <c r="AC285" s="9">
        <v>3654</v>
      </c>
      <c r="AD285" s="9">
        <v>3708</v>
      </c>
      <c r="AE285" s="9">
        <v>3762</v>
      </c>
      <c r="AF285" s="9">
        <v>3817</v>
      </c>
    </row>
    <row r="286" spans="1:32" x14ac:dyDescent="0.25">
      <c r="A286" t="s">
        <v>609</v>
      </c>
    </row>
    <row r="287" spans="1:32" ht="15" customHeight="1" x14ac:dyDescent="0.25">
      <c r="A287" t="s">
        <v>610</v>
      </c>
    </row>
    <row r="288" spans="1:32" ht="15" customHeight="1" x14ac:dyDescent="0.25">
      <c r="A288" t="s">
        <v>317</v>
      </c>
      <c r="B288" s="9">
        <v>15688</v>
      </c>
      <c r="C288" s="9">
        <v>19240</v>
      </c>
      <c r="D288" s="9">
        <v>21939</v>
      </c>
      <c r="E288" s="9">
        <v>24035</v>
      </c>
      <c r="F288" s="9">
        <v>25590</v>
      </c>
      <c r="G288" s="9">
        <v>26901</v>
      </c>
      <c r="H288" s="9">
        <v>28098</v>
      </c>
      <c r="I288" s="9">
        <v>29226</v>
      </c>
      <c r="J288" s="9">
        <v>30311</v>
      </c>
      <c r="K288" s="9">
        <v>31324</v>
      </c>
      <c r="L288" s="9">
        <v>32255</v>
      </c>
      <c r="M288" s="9">
        <v>33120</v>
      </c>
      <c r="N288" s="9">
        <v>33976</v>
      </c>
      <c r="O288" s="9">
        <v>34827</v>
      </c>
      <c r="P288" s="9">
        <v>35696</v>
      </c>
      <c r="Q288" s="9">
        <v>36549</v>
      </c>
      <c r="R288" s="9">
        <v>37410</v>
      </c>
      <c r="S288" s="9">
        <v>38271</v>
      </c>
      <c r="T288" s="9">
        <v>39154</v>
      </c>
      <c r="U288" s="9">
        <v>40048</v>
      </c>
      <c r="V288" s="9">
        <v>40955</v>
      </c>
      <c r="W288" s="9">
        <v>41836</v>
      </c>
      <c r="X288" s="9">
        <v>42728</v>
      </c>
      <c r="Y288" s="9">
        <v>43614</v>
      </c>
      <c r="Z288" s="9">
        <v>44500</v>
      </c>
      <c r="AA288" s="9">
        <v>45375</v>
      </c>
      <c r="AB288" s="9">
        <v>46254</v>
      </c>
      <c r="AC288" s="9">
        <v>47103</v>
      </c>
      <c r="AD288" s="9">
        <v>47954</v>
      </c>
      <c r="AE288" s="9">
        <v>48819</v>
      </c>
      <c r="AF288" s="9">
        <v>49700</v>
      </c>
    </row>
    <row r="289" spans="1:32" x14ac:dyDescent="0.25">
      <c r="A289" t="s">
        <v>611</v>
      </c>
    </row>
    <row r="290" spans="1:32" ht="15" customHeight="1" x14ac:dyDescent="0.25">
      <c r="A290" t="s">
        <v>612</v>
      </c>
      <c r="B290">
        <v>46784</v>
      </c>
      <c r="C290">
        <v>56904</v>
      </c>
      <c r="D290">
        <v>64841</v>
      </c>
      <c r="E290">
        <v>71255</v>
      </c>
      <c r="F290">
        <v>76236</v>
      </c>
      <c r="G290">
        <v>80595</v>
      </c>
      <c r="H290">
        <v>84682</v>
      </c>
      <c r="I290">
        <v>88575</v>
      </c>
      <c r="J290">
        <v>92339</v>
      </c>
      <c r="K290">
        <v>95893</v>
      </c>
      <c r="L290">
        <v>99190</v>
      </c>
      <c r="M290">
        <v>102302</v>
      </c>
      <c r="N290">
        <v>105406</v>
      </c>
      <c r="O290">
        <v>108486</v>
      </c>
      <c r="P290">
        <v>111636</v>
      </c>
      <c r="Q290">
        <v>114741</v>
      </c>
      <c r="R290">
        <v>117901</v>
      </c>
      <c r="S290">
        <v>121046</v>
      </c>
      <c r="T290">
        <v>124286</v>
      </c>
      <c r="U290">
        <v>127562</v>
      </c>
      <c r="V290">
        <v>130890</v>
      </c>
      <c r="W290">
        <v>134136</v>
      </c>
      <c r="X290">
        <v>137430</v>
      </c>
      <c r="Y290">
        <v>140710</v>
      </c>
      <c r="Z290">
        <v>143850</v>
      </c>
      <c r="AA290">
        <v>146910</v>
      </c>
      <c r="AB290">
        <v>149971</v>
      </c>
      <c r="AC290">
        <v>152932</v>
      </c>
      <c r="AD290">
        <v>155914</v>
      </c>
      <c r="AE290">
        <v>158955</v>
      </c>
      <c r="AF290">
        <v>162057</v>
      </c>
    </row>
    <row r="291" spans="1:32" ht="15" customHeight="1" x14ac:dyDescent="0.25">
      <c r="A291" t="s">
        <v>613</v>
      </c>
      <c r="B291">
        <v>82609</v>
      </c>
      <c r="C291">
        <v>96978</v>
      </c>
      <c r="D291">
        <v>108314</v>
      </c>
      <c r="E291">
        <v>117451</v>
      </c>
      <c r="F291">
        <v>124353</v>
      </c>
      <c r="G291">
        <v>130278</v>
      </c>
      <c r="H291">
        <v>135739</v>
      </c>
      <c r="I291">
        <v>140844</v>
      </c>
      <c r="J291">
        <v>145700</v>
      </c>
      <c r="K291">
        <v>150170</v>
      </c>
      <c r="L291">
        <v>154215</v>
      </c>
      <c r="M291">
        <v>157931</v>
      </c>
      <c r="N291">
        <v>161607</v>
      </c>
      <c r="O291">
        <v>165222</v>
      </c>
      <c r="P291">
        <v>168926</v>
      </c>
      <c r="Q291">
        <v>172523</v>
      </c>
      <c r="R291">
        <v>176182</v>
      </c>
      <c r="S291">
        <v>179798</v>
      </c>
      <c r="T291">
        <v>183532</v>
      </c>
      <c r="U291">
        <v>187301</v>
      </c>
      <c r="V291">
        <v>191117</v>
      </c>
      <c r="W291">
        <v>194804</v>
      </c>
      <c r="X291">
        <v>198537</v>
      </c>
      <c r="Y291">
        <v>202208</v>
      </c>
      <c r="Z291">
        <v>205975</v>
      </c>
      <c r="AA291">
        <v>209737</v>
      </c>
      <c r="AB291">
        <v>213546</v>
      </c>
      <c r="AC291">
        <v>217212</v>
      </c>
      <c r="AD291">
        <v>220890</v>
      </c>
      <c r="AE291">
        <v>224628</v>
      </c>
      <c r="AF291">
        <v>228431</v>
      </c>
    </row>
    <row r="292" spans="1:32" ht="15" customHeight="1" x14ac:dyDescent="0.25">
      <c r="A292" t="s">
        <v>614</v>
      </c>
      <c r="B292">
        <v>67487</v>
      </c>
      <c r="C292">
        <v>81551</v>
      </c>
      <c r="D292">
        <v>92442</v>
      </c>
      <c r="E292">
        <v>101066</v>
      </c>
      <c r="F292">
        <v>107611</v>
      </c>
      <c r="G292">
        <v>113242</v>
      </c>
      <c r="H292">
        <v>118452</v>
      </c>
      <c r="I292">
        <v>123365</v>
      </c>
      <c r="J292">
        <v>128074</v>
      </c>
      <c r="K292">
        <v>132467</v>
      </c>
      <c r="L292">
        <v>136508</v>
      </c>
      <c r="M292">
        <v>140275</v>
      </c>
      <c r="N292">
        <v>144027</v>
      </c>
      <c r="O292">
        <v>147744</v>
      </c>
      <c r="P292">
        <v>151543</v>
      </c>
      <c r="Q292">
        <v>155266</v>
      </c>
      <c r="R292">
        <v>159074</v>
      </c>
      <c r="S292">
        <v>162856</v>
      </c>
      <c r="T292">
        <v>166753</v>
      </c>
      <c r="U292">
        <v>170692</v>
      </c>
      <c r="V292">
        <v>174686</v>
      </c>
      <c r="W292">
        <v>178580</v>
      </c>
      <c r="X292">
        <v>182534</v>
      </c>
      <c r="Y292">
        <v>186459</v>
      </c>
      <c r="Z292">
        <v>190185</v>
      </c>
      <c r="AA292">
        <v>193907</v>
      </c>
      <c r="AB292">
        <v>197668</v>
      </c>
      <c r="AC292">
        <v>201304</v>
      </c>
      <c r="AD292">
        <v>204998</v>
      </c>
      <c r="AE292">
        <v>208762</v>
      </c>
      <c r="AF292">
        <v>212592</v>
      </c>
    </row>
    <row r="293" spans="1:32" ht="15" customHeight="1" x14ac:dyDescent="0.25">
      <c r="A293" t="s">
        <v>615</v>
      </c>
      <c r="B293">
        <v>2756005</v>
      </c>
      <c r="C293">
        <v>3442867</v>
      </c>
      <c r="D293">
        <v>3888122</v>
      </c>
      <c r="E293">
        <v>4235616</v>
      </c>
      <c r="F293">
        <v>4466092</v>
      </c>
      <c r="G293">
        <v>4668745</v>
      </c>
      <c r="H293">
        <v>4827703</v>
      </c>
      <c r="I293">
        <v>4998846</v>
      </c>
      <c r="J293">
        <v>5141571</v>
      </c>
      <c r="K293">
        <v>5297304</v>
      </c>
      <c r="L293">
        <v>5414786</v>
      </c>
      <c r="M293">
        <v>5546802</v>
      </c>
      <c r="N293">
        <v>5651986</v>
      </c>
      <c r="O293">
        <v>5781726</v>
      </c>
      <c r="P293">
        <v>5887825</v>
      </c>
      <c r="Q293">
        <v>6017824</v>
      </c>
      <c r="R293">
        <v>6122639</v>
      </c>
      <c r="S293">
        <v>6254298</v>
      </c>
      <c r="T293">
        <v>6355390</v>
      </c>
      <c r="U293">
        <v>6486728</v>
      </c>
      <c r="V293">
        <v>6590060</v>
      </c>
      <c r="W293">
        <v>6719247</v>
      </c>
      <c r="X293">
        <v>6819414</v>
      </c>
      <c r="Y293">
        <v>6948514</v>
      </c>
      <c r="Z293">
        <v>7051561</v>
      </c>
      <c r="AA293">
        <v>7186409</v>
      </c>
      <c r="AB293">
        <v>7291626</v>
      </c>
      <c r="AC293">
        <v>7423127</v>
      </c>
      <c r="AD293">
        <v>7521158</v>
      </c>
      <c r="AE293">
        <v>7620423.5344000002</v>
      </c>
      <c r="AF293">
        <v>7721017.8327000001</v>
      </c>
    </row>
    <row r="294" spans="1:32" ht="15" customHeight="1" x14ac:dyDescent="0.25">
      <c r="A294" t="s">
        <v>616</v>
      </c>
      <c r="B294">
        <v>4117</v>
      </c>
      <c r="C294">
        <v>5116</v>
      </c>
      <c r="D294">
        <v>5911</v>
      </c>
      <c r="E294">
        <v>6553</v>
      </c>
      <c r="F294">
        <v>7053</v>
      </c>
      <c r="G294">
        <v>7491</v>
      </c>
      <c r="H294">
        <v>7905</v>
      </c>
      <c r="I294">
        <v>8300</v>
      </c>
      <c r="J294">
        <v>8687</v>
      </c>
      <c r="K294">
        <v>9058</v>
      </c>
      <c r="L294">
        <v>9407</v>
      </c>
      <c r="M294">
        <v>9739</v>
      </c>
      <c r="N294">
        <v>10073</v>
      </c>
      <c r="O294">
        <v>10408</v>
      </c>
      <c r="P294">
        <v>10752</v>
      </c>
      <c r="Q294">
        <v>11091</v>
      </c>
      <c r="R294">
        <v>11440</v>
      </c>
      <c r="S294">
        <v>11789</v>
      </c>
      <c r="T294">
        <v>12146</v>
      </c>
      <c r="U294">
        <v>12514</v>
      </c>
      <c r="V294">
        <v>12885</v>
      </c>
      <c r="W294">
        <v>13250</v>
      </c>
      <c r="X294">
        <v>13626</v>
      </c>
      <c r="Y294">
        <v>14000</v>
      </c>
      <c r="Z294">
        <v>14320</v>
      </c>
      <c r="AA294">
        <v>14639</v>
      </c>
      <c r="AB294">
        <v>14967</v>
      </c>
      <c r="AC294">
        <v>15288</v>
      </c>
      <c r="AD294">
        <v>15613</v>
      </c>
      <c r="AE294">
        <v>15944</v>
      </c>
      <c r="AF294">
        <v>16282</v>
      </c>
    </row>
    <row r="295" spans="1:32" ht="15" customHeight="1" x14ac:dyDescent="0.25">
      <c r="A295" t="s">
        <v>617</v>
      </c>
    </row>
    <row r="296" spans="1:32" ht="15" customHeight="1" x14ac:dyDescent="0.25">
      <c r="A296" t="s">
        <v>618</v>
      </c>
    </row>
    <row r="297" spans="1:32" ht="15" customHeight="1" x14ac:dyDescent="0.25">
      <c r="A297" t="s">
        <v>619</v>
      </c>
    </row>
    <row r="298" spans="1:32" ht="15" customHeight="1" x14ac:dyDescent="0.25">
      <c r="A298" t="s">
        <v>620</v>
      </c>
      <c r="B298">
        <v>13544258</v>
      </c>
      <c r="C298">
        <v>16999667</v>
      </c>
      <c r="D298">
        <v>19487807</v>
      </c>
      <c r="E298">
        <v>21417187</v>
      </c>
      <c r="F298">
        <v>22880408</v>
      </c>
      <c r="G298">
        <v>24107198</v>
      </c>
      <c r="H298">
        <v>25238720</v>
      </c>
      <c r="I298">
        <v>26304021</v>
      </c>
      <c r="J298">
        <v>27326218</v>
      </c>
      <c r="K298">
        <v>28282354</v>
      </c>
      <c r="L298">
        <v>29165426</v>
      </c>
      <c r="M298">
        <v>29991790</v>
      </c>
      <c r="N298">
        <v>30813891</v>
      </c>
      <c r="O298">
        <v>31628060</v>
      </c>
      <c r="P298">
        <v>32461707</v>
      </c>
      <c r="Q298">
        <v>33279212</v>
      </c>
      <c r="R298">
        <v>34111358</v>
      </c>
      <c r="S298">
        <v>34939086</v>
      </c>
      <c r="T298">
        <v>35791171</v>
      </c>
      <c r="U298">
        <v>36652941</v>
      </c>
      <c r="V298">
        <v>37527085</v>
      </c>
      <c r="W298">
        <v>38378557</v>
      </c>
      <c r="X298">
        <v>39242947</v>
      </c>
      <c r="Y298">
        <v>40098801</v>
      </c>
      <c r="Z298">
        <v>40940101</v>
      </c>
      <c r="AA298">
        <v>41767037</v>
      </c>
      <c r="AB298">
        <v>42598619</v>
      </c>
      <c r="AC298">
        <v>43403011</v>
      </c>
      <c r="AD298">
        <v>44211628</v>
      </c>
      <c r="AE298">
        <v>45035348.371299997</v>
      </c>
      <c r="AF298">
        <v>45874116.506300002</v>
      </c>
    </row>
    <row r="299" spans="1:32" ht="15" customHeight="1" x14ac:dyDescent="0.25">
      <c r="A299" t="s">
        <v>621</v>
      </c>
    </row>
    <row r="300" spans="1:32" ht="15" customHeight="1" x14ac:dyDescent="0.25">
      <c r="A300" t="s">
        <v>622</v>
      </c>
      <c r="B300">
        <v>305426</v>
      </c>
      <c r="C300">
        <v>360836</v>
      </c>
      <c r="D300">
        <v>405737</v>
      </c>
      <c r="E300">
        <v>442899</v>
      </c>
      <c r="F300">
        <v>472054</v>
      </c>
      <c r="G300">
        <v>497781</v>
      </c>
      <c r="H300">
        <v>521955</v>
      </c>
      <c r="I300">
        <v>544944</v>
      </c>
      <c r="J300">
        <v>567108</v>
      </c>
      <c r="K300">
        <v>587952</v>
      </c>
      <c r="L300">
        <v>607216</v>
      </c>
      <c r="M300">
        <v>625299</v>
      </c>
      <c r="N300">
        <v>643290</v>
      </c>
      <c r="O300">
        <v>661084</v>
      </c>
      <c r="P300">
        <v>679323</v>
      </c>
      <c r="Q300">
        <v>697203</v>
      </c>
      <c r="R300">
        <v>715400</v>
      </c>
      <c r="S300">
        <v>733480</v>
      </c>
      <c r="T300">
        <v>752079</v>
      </c>
      <c r="U300">
        <v>770895</v>
      </c>
      <c r="V300">
        <v>789950</v>
      </c>
      <c r="W300">
        <v>808501</v>
      </c>
      <c r="X300">
        <v>827350</v>
      </c>
      <c r="Y300">
        <v>845993</v>
      </c>
      <c r="Z300">
        <v>864108</v>
      </c>
      <c r="AA300">
        <v>881851</v>
      </c>
      <c r="AB300">
        <v>899657</v>
      </c>
      <c r="AC300">
        <v>916857</v>
      </c>
      <c r="AD300">
        <v>934131</v>
      </c>
      <c r="AE300">
        <v>951732</v>
      </c>
      <c r="AF300">
        <v>969666</v>
      </c>
    </row>
    <row r="301" spans="1:32" ht="15" customHeight="1" x14ac:dyDescent="0.25">
      <c r="A301" t="s">
        <v>623</v>
      </c>
      <c r="B301">
        <v>1739</v>
      </c>
      <c r="C301">
        <v>2422</v>
      </c>
      <c r="D301">
        <v>2953</v>
      </c>
      <c r="E301">
        <v>3363</v>
      </c>
      <c r="F301">
        <v>3678</v>
      </c>
      <c r="G301">
        <v>3950</v>
      </c>
      <c r="H301">
        <v>4198</v>
      </c>
      <c r="I301">
        <v>4430</v>
      </c>
      <c r="J301">
        <v>4640</v>
      </c>
      <c r="K301">
        <v>4835</v>
      </c>
      <c r="L301">
        <v>5013</v>
      </c>
      <c r="M301">
        <v>5180</v>
      </c>
      <c r="N301">
        <v>5343</v>
      </c>
      <c r="O301">
        <v>5508</v>
      </c>
      <c r="P301">
        <v>5675</v>
      </c>
      <c r="Q301">
        <v>5841</v>
      </c>
      <c r="R301">
        <v>6009</v>
      </c>
      <c r="S301">
        <v>6180</v>
      </c>
      <c r="T301">
        <v>6352</v>
      </c>
      <c r="U301">
        <v>6526</v>
      </c>
      <c r="V301">
        <v>6705</v>
      </c>
      <c r="W301">
        <v>6881</v>
      </c>
      <c r="X301">
        <v>7059</v>
      </c>
      <c r="Y301">
        <v>7238</v>
      </c>
      <c r="Z301">
        <v>7417</v>
      </c>
      <c r="AA301">
        <v>7601</v>
      </c>
      <c r="AB301">
        <v>7786</v>
      </c>
      <c r="AC301">
        <v>7967</v>
      </c>
      <c r="AD301">
        <v>8150</v>
      </c>
      <c r="AE301">
        <v>8335</v>
      </c>
      <c r="AF301">
        <v>8525</v>
      </c>
    </row>
    <row r="302" spans="1:32" ht="15" customHeight="1" x14ac:dyDescent="0.25">
      <c r="A302" t="s">
        <v>624</v>
      </c>
      <c r="B302">
        <v>56704</v>
      </c>
      <c r="C302">
        <v>65608</v>
      </c>
      <c r="D302">
        <v>73981</v>
      </c>
      <c r="E302">
        <v>81608</v>
      </c>
      <c r="F302">
        <v>88200</v>
      </c>
      <c r="G302">
        <v>94462</v>
      </c>
      <c r="H302">
        <v>100684</v>
      </c>
      <c r="I302">
        <v>106926</v>
      </c>
      <c r="J302">
        <v>113257</v>
      </c>
      <c r="K302">
        <v>119555</v>
      </c>
      <c r="L302">
        <v>125768</v>
      </c>
      <c r="M302">
        <v>131953</v>
      </c>
      <c r="N302">
        <v>138353</v>
      </c>
      <c r="O302">
        <v>144938</v>
      </c>
      <c r="P302">
        <v>151864</v>
      </c>
      <c r="Q302">
        <v>158963</v>
      </c>
      <c r="R302">
        <v>166389</v>
      </c>
      <c r="S302">
        <v>174067</v>
      </c>
      <c r="T302">
        <v>182144</v>
      </c>
      <c r="U302">
        <v>190573</v>
      </c>
      <c r="V302">
        <v>199376</v>
      </c>
      <c r="W302">
        <v>208375</v>
      </c>
      <c r="X302">
        <v>217771</v>
      </c>
      <c r="Y302">
        <v>227445</v>
      </c>
      <c r="Z302">
        <v>237704</v>
      </c>
      <c r="AA302">
        <v>248384</v>
      </c>
      <c r="AB302">
        <v>259536</v>
      </c>
      <c r="AC302">
        <v>270933</v>
      </c>
      <c r="AD302">
        <v>282778</v>
      </c>
      <c r="AE302">
        <v>295146</v>
      </c>
      <c r="AF302">
        <v>308064</v>
      </c>
    </row>
    <row r="303" spans="1:32" ht="15" customHeight="1" x14ac:dyDescent="0.25">
      <c r="A303" t="s">
        <v>625</v>
      </c>
    </row>
    <row r="304" spans="1:32" ht="15" customHeight="1" x14ac:dyDescent="0.25">
      <c r="A304" t="s">
        <v>626</v>
      </c>
      <c r="B304">
        <v>6902322</v>
      </c>
      <c r="C304">
        <v>8446249</v>
      </c>
      <c r="D304">
        <v>9548045</v>
      </c>
      <c r="E304">
        <v>10402369</v>
      </c>
      <c r="F304">
        <v>11044037</v>
      </c>
      <c r="G304">
        <v>11577033</v>
      </c>
      <c r="H304">
        <v>12065242</v>
      </c>
      <c r="I304">
        <v>12520816</v>
      </c>
      <c r="J304">
        <v>12953921</v>
      </c>
      <c r="K304">
        <v>13353600</v>
      </c>
      <c r="L304">
        <v>13716872</v>
      </c>
      <c r="M304">
        <v>14051510</v>
      </c>
      <c r="N304">
        <v>14382501</v>
      </c>
      <c r="O304">
        <v>14708222</v>
      </c>
      <c r="P304">
        <v>15041477</v>
      </c>
      <c r="Q304">
        <v>15365677</v>
      </c>
      <c r="R304">
        <v>15695204</v>
      </c>
      <c r="S304">
        <v>16021237</v>
      </c>
      <c r="T304">
        <v>16356954</v>
      </c>
      <c r="U304">
        <v>16695742</v>
      </c>
      <c r="V304">
        <v>17038695</v>
      </c>
      <c r="W304">
        <v>17370110</v>
      </c>
      <c r="X304">
        <v>17705835</v>
      </c>
      <c r="Y304">
        <v>18036002</v>
      </c>
      <c r="Z304">
        <v>18374944</v>
      </c>
      <c r="AA304">
        <v>18712139</v>
      </c>
      <c r="AB304">
        <v>19052836</v>
      </c>
      <c r="AC304">
        <v>19381058</v>
      </c>
      <c r="AD304">
        <v>19710301</v>
      </c>
      <c r="AE304">
        <v>20045199.502099998</v>
      </c>
      <c r="AF304">
        <v>20385611.2652</v>
      </c>
    </row>
    <row r="305" spans="1:32" ht="15" customHeight="1" x14ac:dyDescent="0.25">
      <c r="A305" t="s">
        <v>627</v>
      </c>
      <c r="B305">
        <v>1122233</v>
      </c>
      <c r="C305">
        <v>1337077</v>
      </c>
      <c r="D305">
        <v>1506559</v>
      </c>
      <c r="E305">
        <v>1643402</v>
      </c>
      <c r="F305">
        <v>1748347</v>
      </c>
      <c r="G305">
        <v>1839378</v>
      </c>
      <c r="H305">
        <v>1923915</v>
      </c>
      <c r="I305">
        <v>2003557</v>
      </c>
      <c r="J305">
        <v>2079824</v>
      </c>
      <c r="K305">
        <v>2150773</v>
      </c>
      <c r="L305">
        <v>2215813</v>
      </c>
      <c r="M305">
        <v>2276210</v>
      </c>
      <c r="N305">
        <v>2336083</v>
      </c>
      <c r="O305">
        <v>2395193</v>
      </c>
      <c r="P305">
        <v>2455634</v>
      </c>
      <c r="Q305">
        <v>2514637</v>
      </c>
      <c r="R305">
        <v>2574593</v>
      </c>
      <c r="S305">
        <v>2634042</v>
      </c>
      <c r="T305">
        <v>2695233</v>
      </c>
      <c r="U305">
        <v>2756965</v>
      </c>
      <c r="V305">
        <v>2819505</v>
      </c>
      <c r="W305">
        <v>2880133</v>
      </c>
      <c r="X305">
        <v>2941591</v>
      </c>
      <c r="Y305">
        <v>3002217</v>
      </c>
      <c r="Z305">
        <v>3062457</v>
      </c>
      <c r="AA305">
        <v>3121856</v>
      </c>
      <c r="AB305">
        <v>3181649</v>
      </c>
      <c r="AC305">
        <v>3239310</v>
      </c>
      <c r="AD305">
        <v>3297196</v>
      </c>
      <c r="AE305">
        <v>3356117</v>
      </c>
      <c r="AF305">
        <v>3416091</v>
      </c>
    </row>
    <row r="306" spans="1:32" ht="15" customHeight="1" x14ac:dyDescent="0.25">
      <c r="A306" t="s">
        <v>628</v>
      </c>
      <c r="B306">
        <v>377246</v>
      </c>
      <c r="C306">
        <v>446664</v>
      </c>
      <c r="D306">
        <v>500741</v>
      </c>
      <c r="E306">
        <v>543898</v>
      </c>
      <c r="F306">
        <v>576255</v>
      </c>
      <c r="G306">
        <v>603965</v>
      </c>
      <c r="H306">
        <v>629419</v>
      </c>
      <c r="I306">
        <v>653301</v>
      </c>
      <c r="J306">
        <v>676185</v>
      </c>
      <c r="K306">
        <v>697299</v>
      </c>
      <c r="L306">
        <v>716538</v>
      </c>
      <c r="M306">
        <v>734282</v>
      </c>
      <c r="N306">
        <v>751855</v>
      </c>
      <c r="O306">
        <v>769239</v>
      </c>
      <c r="P306">
        <v>787016</v>
      </c>
      <c r="Q306">
        <v>804430</v>
      </c>
      <c r="R306">
        <v>822114</v>
      </c>
      <c r="S306">
        <v>839617</v>
      </c>
      <c r="T306">
        <v>857715</v>
      </c>
      <c r="U306">
        <v>876016</v>
      </c>
      <c r="V306">
        <v>894581</v>
      </c>
      <c r="W306">
        <v>912544</v>
      </c>
      <c r="X306">
        <v>930767</v>
      </c>
      <c r="Y306">
        <v>948756</v>
      </c>
      <c r="Z306">
        <v>967002</v>
      </c>
      <c r="AA306">
        <v>985198</v>
      </c>
      <c r="AB306">
        <v>1003530</v>
      </c>
      <c r="AC306">
        <v>1021226</v>
      </c>
      <c r="AD306">
        <v>1038995</v>
      </c>
      <c r="AE306">
        <v>1057066</v>
      </c>
      <c r="AF306">
        <v>1075455</v>
      </c>
    </row>
    <row r="307" spans="1:32" ht="15" customHeight="1" x14ac:dyDescent="0.25">
      <c r="A307" t="s">
        <v>629</v>
      </c>
    </row>
    <row r="308" spans="1:32" ht="15" customHeight="1" x14ac:dyDescent="0.25">
      <c r="A308" t="s">
        <v>630</v>
      </c>
      <c r="B308">
        <v>126587</v>
      </c>
      <c r="C308">
        <v>153618</v>
      </c>
      <c r="D308">
        <v>174957</v>
      </c>
      <c r="E308">
        <v>192267</v>
      </c>
      <c r="F308">
        <v>205609</v>
      </c>
      <c r="G308">
        <v>217206</v>
      </c>
      <c r="H308">
        <v>227964</v>
      </c>
      <c r="I308">
        <v>238264</v>
      </c>
      <c r="J308">
        <v>248242</v>
      </c>
      <c r="K308">
        <v>257718</v>
      </c>
      <c r="L308">
        <v>266522</v>
      </c>
      <c r="M308">
        <v>274871</v>
      </c>
      <c r="N308">
        <v>283204</v>
      </c>
      <c r="O308">
        <v>291559</v>
      </c>
      <c r="P308">
        <v>300137</v>
      </c>
      <c r="Q308">
        <v>308615</v>
      </c>
      <c r="R308">
        <v>317326</v>
      </c>
      <c r="S308">
        <v>326043</v>
      </c>
      <c r="T308">
        <v>335077</v>
      </c>
      <c r="U308">
        <v>344249</v>
      </c>
      <c r="V308">
        <v>353654</v>
      </c>
      <c r="W308">
        <v>362887</v>
      </c>
      <c r="X308">
        <v>372383</v>
      </c>
      <c r="Y308">
        <v>381869</v>
      </c>
      <c r="Z308">
        <v>391219</v>
      </c>
      <c r="AA308">
        <v>400536</v>
      </c>
      <c r="AB308">
        <v>410069</v>
      </c>
      <c r="AC308">
        <v>419408</v>
      </c>
      <c r="AD308">
        <v>428726</v>
      </c>
      <c r="AE308">
        <v>438251</v>
      </c>
      <c r="AF308">
        <v>447989</v>
      </c>
    </row>
    <row r="309" spans="1:32" ht="15" customHeight="1" x14ac:dyDescent="0.25">
      <c r="A309" t="s">
        <v>631</v>
      </c>
      <c r="B309">
        <v>14468</v>
      </c>
      <c r="C309">
        <v>19890</v>
      </c>
      <c r="D309">
        <v>24073</v>
      </c>
      <c r="E309">
        <v>27375</v>
      </c>
      <c r="F309">
        <v>29932</v>
      </c>
      <c r="G309">
        <v>32147</v>
      </c>
      <c r="H309">
        <v>34185</v>
      </c>
      <c r="I309">
        <v>36088</v>
      </c>
      <c r="J309">
        <v>37825</v>
      </c>
      <c r="K309">
        <v>39439</v>
      </c>
      <c r="L309">
        <v>40905</v>
      </c>
      <c r="M309">
        <v>42292</v>
      </c>
      <c r="N309">
        <v>43657</v>
      </c>
      <c r="O309">
        <v>45034</v>
      </c>
      <c r="P309">
        <v>46432</v>
      </c>
      <c r="Q309">
        <v>47829</v>
      </c>
      <c r="R309">
        <v>49241</v>
      </c>
      <c r="S309">
        <v>50671</v>
      </c>
      <c r="T309">
        <v>52127</v>
      </c>
      <c r="U309">
        <v>53614</v>
      </c>
      <c r="V309">
        <v>55120</v>
      </c>
      <c r="W309">
        <v>56616</v>
      </c>
      <c r="X309">
        <v>58128</v>
      </c>
      <c r="Y309">
        <v>59654</v>
      </c>
      <c r="Z309">
        <v>61199</v>
      </c>
      <c r="AA309">
        <v>62771</v>
      </c>
      <c r="AB309">
        <v>64357</v>
      </c>
      <c r="AC309">
        <v>65934</v>
      </c>
      <c r="AD309">
        <v>67516</v>
      </c>
      <c r="AE309">
        <v>69138</v>
      </c>
      <c r="AF309">
        <v>70800</v>
      </c>
    </row>
    <row r="310" spans="1:32" ht="15" customHeight="1" x14ac:dyDescent="0.25">
      <c r="A310" t="s">
        <v>632</v>
      </c>
      <c r="B310">
        <v>19935</v>
      </c>
      <c r="C310">
        <v>25148</v>
      </c>
      <c r="D310">
        <v>28948</v>
      </c>
      <c r="E310">
        <v>31781</v>
      </c>
      <c r="F310">
        <v>33812</v>
      </c>
      <c r="G310">
        <v>35486</v>
      </c>
      <c r="H310">
        <v>36986</v>
      </c>
      <c r="I310">
        <v>38367</v>
      </c>
      <c r="J310">
        <v>39673</v>
      </c>
      <c r="K310">
        <v>40868</v>
      </c>
      <c r="L310">
        <v>41942</v>
      </c>
      <c r="M310">
        <v>42926</v>
      </c>
      <c r="N310">
        <v>43895</v>
      </c>
      <c r="O310">
        <v>44847</v>
      </c>
      <c r="P310">
        <v>45816</v>
      </c>
      <c r="Q310">
        <v>46755</v>
      </c>
      <c r="R310">
        <v>47709</v>
      </c>
      <c r="S310">
        <v>48645</v>
      </c>
      <c r="T310">
        <v>49608</v>
      </c>
      <c r="U310">
        <v>50574</v>
      </c>
      <c r="V310">
        <v>51550</v>
      </c>
      <c r="W310">
        <v>52481</v>
      </c>
      <c r="X310">
        <v>53420</v>
      </c>
      <c r="Y310">
        <v>54340</v>
      </c>
      <c r="Z310">
        <v>55238</v>
      </c>
      <c r="AA310">
        <v>56107</v>
      </c>
      <c r="AB310">
        <v>56974</v>
      </c>
      <c r="AC310">
        <v>57794</v>
      </c>
      <c r="AD310">
        <v>58605</v>
      </c>
      <c r="AE310">
        <v>59429</v>
      </c>
      <c r="AF310">
        <v>60265</v>
      </c>
    </row>
    <row r="311" spans="1:32" ht="15" customHeight="1" x14ac:dyDescent="0.25">
      <c r="A311" t="s">
        <v>633</v>
      </c>
      <c r="B311">
        <v>4826564</v>
      </c>
      <c r="C311">
        <v>5735003</v>
      </c>
      <c r="D311">
        <v>6430361</v>
      </c>
      <c r="E311">
        <v>6987079</v>
      </c>
      <c r="F311">
        <v>7409606</v>
      </c>
      <c r="G311">
        <v>7770855</v>
      </c>
      <c r="H311">
        <v>8104477</v>
      </c>
      <c r="I311">
        <v>8417372</v>
      </c>
      <c r="J311">
        <v>8715848</v>
      </c>
      <c r="K311">
        <v>8991981</v>
      </c>
      <c r="L311">
        <v>9243451</v>
      </c>
      <c r="M311">
        <v>9475640</v>
      </c>
      <c r="N311">
        <v>9705687</v>
      </c>
      <c r="O311">
        <v>9932383</v>
      </c>
      <c r="P311">
        <v>10164566</v>
      </c>
      <c r="Q311">
        <v>10390838</v>
      </c>
      <c r="R311">
        <v>10621011</v>
      </c>
      <c r="S311">
        <v>10848723</v>
      </c>
      <c r="T311">
        <v>11083384</v>
      </c>
      <c r="U311">
        <v>11320285</v>
      </c>
      <c r="V311">
        <v>11560371</v>
      </c>
      <c r="W311">
        <v>11792597</v>
      </c>
      <c r="X311">
        <v>12027970</v>
      </c>
      <c r="Y311">
        <v>12259728</v>
      </c>
      <c r="Z311">
        <v>12494284</v>
      </c>
      <c r="AA311">
        <v>12727217</v>
      </c>
      <c r="AB311">
        <v>12962298</v>
      </c>
      <c r="AC311">
        <v>13188729</v>
      </c>
      <c r="AD311">
        <v>13415937</v>
      </c>
      <c r="AE311">
        <v>13647095.62349</v>
      </c>
      <c r="AF311">
        <v>13882164.27575</v>
      </c>
    </row>
    <row r="312" spans="1:32" ht="15" customHeight="1" x14ac:dyDescent="0.25">
      <c r="A312" t="s">
        <v>1120</v>
      </c>
      <c r="B312">
        <v>124123</v>
      </c>
      <c r="C312">
        <v>149398</v>
      </c>
      <c r="D312">
        <v>169126</v>
      </c>
      <c r="E312">
        <v>184839</v>
      </c>
      <c r="F312">
        <v>196776</v>
      </c>
      <c r="G312">
        <v>207065</v>
      </c>
      <c r="H312">
        <v>216606</v>
      </c>
      <c r="I312">
        <v>225612</v>
      </c>
      <c r="J312">
        <v>234274</v>
      </c>
      <c r="K312">
        <v>242376</v>
      </c>
      <c r="L312">
        <v>249853</v>
      </c>
      <c r="M312">
        <v>256852</v>
      </c>
      <c r="N312">
        <v>263836</v>
      </c>
      <c r="O312">
        <v>270778</v>
      </c>
      <c r="P312">
        <v>277915</v>
      </c>
      <c r="Q312">
        <v>284944</v>
      </c>
      <c r="R312">
        <v>292133</v>
      </c>
      <c r="S312">
        <v>299312</v>
      </c>
      <c r="T312">
        <v>306739</v>
      </c>
      <c r="U312">
        <v>314286</v>
      </c>
      <c r="V312">
        <v>321985</v>
      </c>
      <c r="W312">
        <v>329520</v>
      </c>
      <c r="X312">
        <v>337216</v>
      </c>
      <c r="Y312">
        <v>344883</v>
      </c>
      <c r="Z312">
        <v>352335</v>
      </c>
      <c r="AA312">
        <v>359854</v>
      </c>
      <c r="AB312">
        <v>367525</v>
      </c>
      <c r="AC312">
        <v>375034</v>
      </c>
      <c r="AD312">
        <v>382636</v>
      </c>
      <c r="AE312">
        <v>390422</v>
      </c>
      <c r="AF312">
        <v>398395</v>
      </c>
    </row>
    <row r="313" spans="1:32" ht="15" customHeight="1" x14ac:dyDescent="0.25">
      <c r="A313" t="s">
        <v>634</v>
      </c>
      <c r="B313">
        <v>2176897</v>
      </c>
      <c r="C313">
        <v>2636436</v>
      </c>
      <c r="D313">
        <v>2991429</v>
      </c>
      <c r="E313">
        <v>3273066</v>
      </c>
      <c r="F313">
        <v>3486868</v>
      </c>
      <c r="G313">
        <v>3670968</v>
      </c>
      <c r="H313">
        <v>3841413</v>
      </c>
      <c r="I313">
        <v>4001997</v>
      </c>
      <c r="J313">
        <v>4155898</v>
      </c>
      <c r="K313">
        <v>4299395</v>
      </c>
      <c r="L313">
        <v>4431270</v>
      </c>
      <c r="M313">
        <v>4554153</v>
      </c>
      <c r="N313">
        <v>4676231</v>
      </c>
      <c r="O313">
        <v>4796958</v>
      </c>
      <c r="P313">
        <v>4920576</v>
      </c>
      <c r="Q313">
        <v>5041529</v>
      </c>
      <c r="R313">
        <v>5164671</v>
      </c>
      <c r="S313">
        <v>5286934</v>
      </c>
      <c r="T313">
        <v>5412959</v>
      </c>
      <c r="U313">
        <v>5540320</v>
      </c>
      <c r="V313">
        <v>5669468</v>
      </c>
      <c r="W313">
        <v>5794948</v>
      </c>
      <c r="X313">
        <v>5922197</v>
      </c>
      <c r="Y313">
        <v>6048009</v>
      </c>
      <c r="Z313">
        <v>6172021</v>
      </c>
      <c r="AA313">
        <v>6293852</v>
      </c>
      <c r="AB313">
        <v>6416302</v>
      </c>
      <c r="AC313">
        <v>6534470</v>
      </c>
      <c r="AD313">
        <v>6653136</v>
      </c>
      <c r="AE313">
        <v>6773961</v>
      </c>
      <c r="AF313">
        <v>6896979</v>
      </c>
    </row>
    <row r="314" spans="1:32" ht="15" customHeight="1" x14ac:dyDescent="0.25">
      <c r="A314" t="s">
        <v>635</v>
      </c>
      <c r="B314">
        <v>41604</v>
      </c>
      <c r="C314">
        <v>51059</v>
      </c>
      <c r="D314">
        <v>58442</v>
      </c>
      <c r="E314">
        <v>64389</v>
      </c>
      <c r="F314">
        <v>69017</v>
      </c>
      <c r="G314">
        <v>73111</v>
      </c>
      <c r="H314">
        <v>76947</v>
      </c>
      <c r="I314">
        <v>80586</v>
      </c>
      <c r="J314">
        <v>84187</v>
      </c>
      <c r="K314">
        <v>87554</v>
      </c>
      <c r="L314">
        <v>90714</v>
      </c>
      <c r="M314">
        <v>93756</v>
      </c>
      <c r="N314">
        <v>96768</v>
      </c>
      <c r="O314">
        <v>99773</v>
      </c>
      <c r="P314">
        <v>102905</v>
      </c>
      <c r="Q314">
        <v>105969</v>
      </c>
      <c r="R314">
        <v>109126</v>
      </c>
      <c r="S314">
        <v>112254</v>
      </c>
      <c r="T314">
        <v>115511</v>
      </c>
      <c r="U314">
        <v>118817</v>
      </c>
      <c r="V314">
        <v>122181</v>
      </c>
      <c r="W314">
        <v>125490</v>
      </c>
      <c r="X314">
        <v>128908</v>
      </c>
      <c r="Y314">
        <v>132281</v>
      </c>
      <c r="Z314">
        <v>135376</v>
      </c>
      <c r="AA314">
        <v>138417</v>
      </c>
      <c r="AB314">
        <v>141490</v>
      </c>
      <c r="AC314">
        <v>144442</v>
      </c>
      <c r="AD314">
        <v>147438</v>
      </c>
      <c r="AE314">
        <v>150498</v>
      </c>
      <c r="AF314">
        <v>153621</v>
      </c>
    </row>
    <row r="315" spans="1:32" ht="15" customHeight="1" x14ac:dyDescent="0.25">
      <c r="A315" t="s">
        <v>636</v>
      </c>
      <c r="B315">
        <v>13066</v>
      </c>
      <c r="C315">
        <v>14919</v>
      </c>
      <c r="D315">
        <v>16478</v>
      </c>
      <c r="E315">
        <v>17781</v>
      </c>
      <c r="F315">
        <v>18783</v>
      </c>
      <c r="G315">
        <v>19661</v>
      </c>
      <c r="H315">
        <v>20480</v>
      </c>
      <c r="I315">
        <v>21254</v>
      </c>
      <c r="J315">
        <v>21990</v>
      </c>
      <c r="K315">
        <v>22677</v>
      </c>
      <c r="L315">
        <v>23304</v>
      </c>
      <c r="M315">
        <v>23877</v>
      </c>
      <c r="N315">
        <v>24445</v>
      </c>
      <c r="O315">
        <v>25012</v>
      </c>
      <c r="P315">
        <v>25589</v>
      </c>
      <c r="Q315">
        <v>26152</v>
      </c>
      <c r="R315">
        <v>26725</v>
      </c>
      <c r="S315">
        <v>27286</v>
      </c>
      <c r="T315">
        <v>27871</v>
      </c>
      <c r="U315">
        <v>28452</v>
      </c>
      <c r="V315">
        <v>29040</v>
      </c>
      <c r="W315">
        <v>29610</v>
      </c>
      <c r="X315">
        <v>30186</v>
      </c>
      <c r="Y315">
        <v>30746</v>
      </c>
      <c r="Z315">
        <v>31298</v>
      </c>
      <c r="AA315">
        <v>31824</v>
      </c>
      <c r="AB315">
        <v>32347</v>
      </c>
      <c r="AC315">
        <v>32848</v>
      </c>
      <c r="AD315">
        <v>33335</v>
      </c>
      <c r="AE315">
        <v>33830</v>
      </c>
      <c r="AF315">
        <v>34335</v>
      </c>
    </row>
    <row r="316" spans="1:32" ht="15" customHeight="1" x14ac:dyDescent="0.25">
      <c r="A316" t="s">
        <v>637</v>
      </c>
      <c r="B316">
        <v>234733</v>
      </c>
      <c r="C316">
        <v>276306</v>
      </c>
      <c r="D316">
        <v>309237</v>
      </c>
      <c r="E316">
        <v>335868</v>
      </c>
      <c r="F316">
        <v>356149</v>
      </c>
      <c r="G316">
        <v>373661</v>
      </c>
      <c r="H316">
        <v>389863</v>
      </c>
      <c r="I316">
        <v>405054</v>
      </c>
      <c r="J316">
        <v>419540</v>
      </c>
      <c r="K316">
        <v>432926</v>
      </c>
      <c r="L316">
        <v>445097</v>
      </c>
      <c r="M316">
        <v>456321</v>
      </c>
      <c r="N316">
        <v>467422</v>
      </c>
      <c r="O316">
        <v>478345</v>
      </c>
      <c r="P316">
        <v>489520</v>
      </c>
      <c r="Q316">
        <v>500392</v>
      </c>
      <c r="R316">
        <v>511437</v>
      </c>
      <c r="S316">
        <v>522364</v>
      </c>
      <c r="T316">
        <v>533618</v>
      </c>
      <c r="U316">
        <v>544971</v>
      </c>
      <c r="V316">
        <v>556458</v>
      </c>
      <c r="W316">
        <v>567551</v>
      </c>
      <c r="X316">
        <v>578789</v>
      </c>
      <c r="Y316">
        <v>589840</v>
      </c>
      <c r="Z316">
        <v>600998</v>
      </c>
      <c r="AA316">
        <v>612071</v>
      </c>
      <c r="AB316">
        <v>623242</v>
      </c>
      <c r="AC316">
        <v>633985</v>
      </c>
      <c r="AD316">
        <v>644761</v>
      </c>
      <c r="AE316">
        <v>655716</v>
      </c>
      <c r="AF316">
        <v>666860</v>
      </c>
    </row>
    <row r="317" spans="1:32" ht="15" customHeight="1" x14ac:dyDescent="0.25">
      <c r="A317" t="s">
        <v>638</v>
      </c>
      <c r="B317">
        <v>57899</v>
      </c>
      <c r="C317">
        <v>67606</v>
      </c>
      <c r="D317">
        <v>75523</v>
      </c>
      <c r="E317">
        <v>82091</v>
      </c>
      <c r="F317">
        <v>87207</v>
      </c>
      <c r="G317">
        <v>91697</v>
      </c>
      <c r="H317">
        <v>95895</v>
      </c>
      <c r="I317">
        <v>99866</v>
      </c>
      <c r="J317">
        <v>103671</v>
      </c>
      <c r="K317">
        <v>107216</v>
      </c>
      <c r="L317">
        <v>110468</v>
      </c>
      <c r="M317">
        <v>113487</v>
      </c>
      <c r="N317">
        <v>116482</v>
      </c>
      <c r="O317">
        <v>119442</v>
      </c>
      <c r="P317">
        <v>122466</v>
      </c>
      <c r="Q317">
        <v>125421</v>
      </c>
      <c r="R317">
        <v>128422</v>
      </c>
      <c r="S317">
        <v>131400</v>
      </c>
      <c r="T317">
        <v>134465</v>
      </c>
      <c r="U317">
        <v>137559</v>
      </c>
      <c r="V317">
        <v>140691</v>
      </c>
      <c r="W317">
        <v>143734</v>
      </c>
      <c r="X317">
        <v>146819</v>
      </c>
      <c r="Y317">
        <v>149861</v>
      </c>
      <c r="Z317">
        <v>152904</v>
      </c>
      <c r="AA317">
        <v>155911</v>
      </c>
      <c r="AB317">
        <v>158945</v>
      </c>
      <c r="AC317">
        <v>161875</v>
      </c>
      <c r="AD317">
        <v>164821</v>
      </c>
      <c r="AE317">
        <v>167820</v>
      </c>
      <c r="AF317">
        <v>170872</v>
      </c>
    </row>
    <row r="318" spans="1:32" ht="15" customHeight="1" x14ac:dyDescent="0.25">
      <c r="A318" t="s">
        <v>639</v>
      </c>
      <c r="B318">
        <v>2228179</v>
      </c>
      <c r="C318">
        <v>2746476</v>
      </c>
      <c r="D318">
        <v>3197586</v>
      </c>
      <c r="E318">
        <v>3603618</v>
      </c>
      <c r="F318">
        <v>4033591</v>
      </c>
      <c r="G318">
        <v>4296044</v>
      </c>
      <c r="H318">
        <v>4502582</v>
      </c>
      <c r="I318">
        <v>4662750</v>
      </c>
      <c r="J318">
        <v>4831533</v>
      </c>
      <c r="K318">
        <v>4970515</v>
      </c>
      <c r="L318">
        <v>5113834</v>
      </c>
      <c r="M318">
        <v>5228153</v>
      </c>
      <c r="N318">
        <v>5359922</v>
      </c>
      <c r="O318">
        <v>5470286</v>
      </c>
      <c r="P318">
        <v>5603173</v>
      </c>
      <c r="Q318">
        <v>5712300</v>
      </c>
      <c r="R318">
        <v>5844282</v>
      </c>
      <c r="S318">
        <v>5953576</v>
      </c>
      <c r="T318">
        <v>6088230</v>
      </c>
      <c r="U318">
        <v>6190861</v>
      </c>
      <c r="V318">
        <v>6323489</v>
      </c>
      <c r="W318">
        <v>6430709</v>
      </c>
      <c r="X318">
        <v>6564273</v>
      </c>
      <c r="Y318">
        <v>6671798</v>
      </c>
      <c r="Z318">
        <v>6808248</v>
      </c>
      <c r="AA318">
        <v>6919157</v>
      </c>
      <c r="AB318">
        <v>7057248</v>
      </c>
      <c r="AC318">
        <v>7164617</v>
      </c>
      <c r="AD318">
        <v>7299167</v>
      </c>
      <c r="AE318">
        <v>7436241.9056000002</v>
      </c>
      <c r="AF318">
        <v>7575833.3976999996</v>
      </c>
    </row>
    <row r="319" spans="1:32" ht="15" customHeight="1" x14ac:dyDescent="0.25">
      <c r="A319" t="s">
        <v>46</v>
      </c>
    </row>
    <row r="320" spans="1:32" x14ac:dyDescent="0.25">
      <c r="A320" t="s">
        <v>640</v>
      </c>
      <c r="B320">
        <v>1713023</v>
      </c>
      <c r="C320">
        <v>2047783</v>
      </c>
      <c r="D320">
        <v>2288478</v>
      </c>
      <c r="E320">
        <v>2479024</v>
      </c>
      <c r="F320">
        <v>2623020</v>
      </c>
      <c r="G320">
        <v>2743946</v>
      </c>
      <c r="H320">
        <v>2855307</v>
      </c>
      <c r="I320">
        <v>2959474</v>
      </c>
      <c r="J320">
        <v>3058642</v>
      </c>
      <c r="K320">
        <v>3150107</v>
      </c>
      <c r="L320">
        <v>3233113</v>
      </c>
      <c r="M320">
        <v>3309569</v>
      </c>
      <c r="N320">
        <v>3385293</v>
      </c>
      <c r="O320">
        <v>3459968</v>
      </c>
      <c r="P320">
        <v>3536554</v>
      </c>
      <c r="Q320">
        <v>3611129</v>
      </c>
      <c r="R320">
        <v>3687117</v>
      </c>
      <c r="S320">
        <v>3762435</v>
      </c>
      <c r="T320">
        <v>3840244</v>
      </c>
      <c r="U320">
        <v>3918879</v>
      </c>
      <c r="V320">
        <v>3998685</v>
      </c>
      <c r="W320">
        <v>4075864</v>
      </c>
      <c r="X320">
        <v>4154131</v>
      </c>
      <c r="Y320">
        <v>4231154</v>
      </c>
      <c r="Z320">
        <v>4309944</v>
      </c>
      <c r="AA320">
        <v>4388491</v>
      </c>
      <c r="AB320">
        <v>4467842</v>
      </c>
      <c r="AC320">
        <v>4544282</v>
      </c>
      <c r="AD320">
        <v>4621014</v>
      </c>
      <c r="AE320">
        <v>4699024.1575600002</v>
      </c>
      <c r="AF320">
        <v>4778354.89145</v>
      </c>
    </row>
    <row r="321" spans="1:32" ht="15" customHeight="1" x14ac:dyDescent="0.25">
      <c r="A321" t="s">
        <v>641</v>
      </c>
      <c r="B321">
        <v>255661</v>
      </c>
      <c r="C321">
        <v>308649</v>
      </c>
      <c r="D321">
        <v>348806</v>
      </c>
      <c r="E321">
        <v>380016</v>
      </c>
      <c r="F321">
        <v>402971</v>
      </c>
      <c r="G321">
        <v>422039</v>
      </c>
      <c r="H321">
        <v>439126</v>
      </c>
      <c r="I321">
        <v>456976</v>
      </c>
      <c r="J321">
        <v>477114</v>
      </c>
      <c r="K321">
        <v>497691</v>
      </c>
      <c r="L321">
        <v>518083</v>
      </c>
      <c r="M321">
        <v>538112</v>
      </c>
      <c r="N321">
        <v>558402</v>
      </c>
      <c r="O321">
        <v>578734</v>
      </c>
      <c r="P321">
        <v>599557</v>
      </c>
      <c r="Q321">
        <v>620154</v>
      </c>
      <c r="R321">
        <v>641107</v>
      </c>
      <c r="S321">
        <v>662197</v>
      </c>
      <c r="T321">
        <v>683898</v>
      </c>
      <c r="U321">
        <v>701175</v>
      </c>
      <c r="V321">
        <v>716587</v>
      </c>
      <c r="W321">
        <v>730754</v>
      </c>
      <c r="X321">
        <v>744759</v>
      </c>
      <c r="Y321">
        <v>758347</v>
      </c>
      <c r="Z321">
        <v>771609</v>
      </c>
      <c r="AA321">
        <v>784519</v>
      </c>
      <c r="AB321">
        <v>797434</v>
      </c>
      <c r="AC321">
        <v>809732</v>
      </c>
      <c r="AD321">
        <v>822023</v>
      </c>
      <c r="AE321">
        <v>834500</v>
      </c>
      <c r="AF321">
        <v>847167</v>
      </c>
    </row>
    <row r="322" spans="1:32" ht="15" customHeight="1" x14ac:dyDescent="0.25">
      <c r="A322" t="s">
        <v>642</v>
      </c>
      <c r="B322">
        <v>4871907</v>
      </c>
      <c r="C322">
        <v>6100872</v>
      </c>
      <c r="D322">
        <v>6947501</v>
      </c>
      <c r="E322">
        <v>7603297</v>
      </c>
      <c r="F322">
        <v>8102921</v>
      </c>
      <c r="G322">
        <v>8516412</v>
      </c>
      <c r="H322">
        <v>8897696</v>
      </c>
      <c r="I322">
        <v>9258519</v>
      </c>
      <c r="J322">
        <v>9607696</v>
      </c>
      <c r="K322">
        <v>9935428</v>
      </c>
      <c r="L322">
        <v>10238727</v>
      </c>
      <c r="M322">
        <v>10522786</v>
      </c>
      <c r="N322">
        <v>10805381</v>
      </c>
      <c r="O322">
        <v>11085490</v>
      </c>
      <c r="P322">
        <v>11372257</v>
      </c>
      <c r="Q322">
        <v>11653578</v>
      </c>
      <c r="R322">
        <v>11939876</v>
      </c>
      <c r="S322">
        <v>12224746</v>
      </c>
      <c r="T322">
        <v>12517974</v>
      </c>
      <c r="U322">
        <v>12814749</v>
      </c>
      <c r="V322">
        <v>13115749</v>
      </c>
      <c r="W322">
        <v>13409194</v>
      </c>
      <c r="X322">
        <v>13707127</v>
      </c>
      <c r="Y322">
        <v>14002333</v>
      </c>
      <c r="Z322">
        <v>14293396</v>
      </c>
      <c r="AA322">
        <v>14580154</v>
      </c>
      <c r="AB322">
        <v>14869172</v>
      </c>
      <c r="AC322">
        <v>15148927</v>
      </c>
      <c r="AD322">
        <v>15430435</v>
      </c>
      <c r="AE322">
        <v>15716939.1688</v>
      </c>
      <c r="AF322">
        <v>16008779.7665</v>
      </c>
    </row>
    <row r="323" spans="1:32" ht="15" customHeight="1" x14ac:dyDescent="0.25">
      <c r="A323" t="s">
        <v>643</v>
      </c>
      <c r="B323">
        <v>10040953</v>
      </c>
      <c r="C323">
        <v>13358258</v>
      </c>
      <c r="D323">
        <v>15061453</v>
      </c>
      <c r="E323">
        <v>16313970</v>
      </c>
      <c r="F323">
        <v>17310938</v>
      </c>
      <c r="G323">
        <v>18030178</v>
      </c>
      <c r="H323">
        <v>18696004</v>
      </c>
      <c r="I323">
        <v>19326381</v>
      </c>
      <c r="J323">
        <v>19934584</v>
      </c>
      <c r="K323">
        <v>20507219</v>
      </c>
      <c r="L323">
        <v>21040643</v>
      </c>
      <c r="M323">
        <v>21544512</v>
      </c>
      <c r="N323">
        <v>22047664</v>
      </c>
      <c r="O323">
        <v>22548273</v>
      </c>
      <c r="P323">
        <v>23061830</v>
      </c>
      <c r="Q323">
        <v>23569103</v>
      </c>
      <c r="R323">
        <v>24086809</v>
      </c>
      <c r="S323">
        <v>24604600</v>
      </c>
      <c r="T323">
        <v>25138320</v>
      </c>
      <c r="U323">
        <v>25680510</v>
      </c>
      <c r="V323">
        <v>26232440</v>
      </c>
      <c r="W323">
        <v>26775103</v>
      </c>
      <c r="X323">
        <v>27326945</v>
      </c>
      <c r="Y323">
        <v>27876628</v>
      </c>
      <c r="Z323">
        <v>28450571</v>
      </c>
      <c r="AA323">
        <v>29032325</v>
      </c>
      <c r="AB323">
        <v>29624672</v>
      </c>
      <c r="AC323">
        <v>30206367</v>
      </c>
      <c r="AD323">
        <v>30793607</v>
      </c>
      <c r="AE323">
        <v>31391764.726</v>
      </c>
      <c r="AF323">
        <v>32000866.728</v>
      </c>
    </row>
    <row r="324" spans="1:32" ht="15" customHeight="1" x14ac:dyDescent="0.25">
      <c r="A324" t="s">
        <v>325</v>
      </c>
      <c r="B324">
        <v>11702</v>
      </c>
      <c r="C324">
        <v>14179</v>
      </c>
      <c r="D324">
        <v>16148</v>
      </c>
      <c r="E324">
        <v>17773</v>
      </c>
      <c r="F324">
        <v>19044</v>
      </c>
      <c r="G324">
        <v>20175</v>
      </c>
      <c r="H324">
        <v>21236</v>
      </c>
      <c r="I324">
        <v>22256</v>
      </c>
      <c r="J324">
        <v>23262</v>
      </c>
      <c r="K324">
        <v>24200</v>
      </c>
      <c r="L324">
        <v>25091</v>
      </c>
      <c r="M324">
        <v>25941</v>
      </c>
      <c r="N324">
        <v>26795</v>
      </c>
      <c r="O324">
        <v>27636</v>
      </c>
      <c r="P324">
        <v>28512</v>
      </c>
      <c r="Q324">
        <v>29376</v>
      </c>
      <c r="R324">
        <v>30259</v>
      </c>
      <c r="S324">
        <v>31140</v>
      </c>
      <c r="T324">
        <v>32055</v>
      </c>
      <c r="U324">
        <v>32992</v>
      </c>
      <c r="V324">
        <v>33928</v>
      </c>
      <c r="W324">
        <v>34863</v>
      </c>
      <c r="X324">
        <v>35816</v>
      </c>
      <c r="Y324">
        <v>36759</v>
      </c>
      <c r="Z324">
        <v>37650</v>
      </c>
      <c r="AA324">
        <v>38503</v>
      </c>
      <c r="AB324">
        <v>39353</v>
      </c>
      <c r="AC324">
        <v>40178</v>
      </c>
      <c r="AD324">
        <v>41015</v>
      </c>
      <c r="AE324">
        <v>41869</v>
      </c>
      <c r="AF324">
        <v>42740</v>
      </c>
    </row>
    <row r="325" spans="1:32" x14ac:dyDescent="0.25">
      <c r="A325" t="s">
        <v>644</v>
      </c>
      <c r="B325">
        <v>2442463</v>
      </c>
      <c r="C325">
        <v>2884343</v>
      </c>
      <c r="D325">
        <v>3226259</v>
      </c>
      <c r="E325">
        <v>3495354</v>
      </c>
      <c r="F325">
        <v>3693995</v>
      </c>
      <c r="G325">
        <v>3861233</v>
      </c>
      <c r="H325">
        <v>4013129</v>
      </c>
      <c r="I325">
        <v>4160066</v>
      </c>
      <c r="J325">
        <v>4308877</v>
      </c>
      <c r="K325">
        <v>4450539</v>
      </c>
      <c r="L325">
        <v>4581710</v>
      </c>
      <c r="M325">
        <v>4704062</v>
      </c>
      <c r="N325">
        <v>4825732</v>
      </c>
      <c r="O325">
        <v>4945895</v>
      </c>
      <c r="P325">
        <v>5068943</v>
      </c>
      <c r="Q325">
        <v>5189087</v>
      </c>
      <c r="R325">
        <v>5311285</v>
      </c>
      <c r="S325">
        <v>5432416</v>
      </c>
      <c r="T325">
        <v>5557187</v>
      </c>
      <c r="U325">
        <v>5683162</v>
      </c>
      <c r="V325">
        <v>5810819</v>
      </c>
      <c r="W325">
        <v>5934563</v>
      </c>
      <c r="X325">
        <v>6060005</v>
      </c>
      <c r="Y325">
        <v>6183760</v>
      </c>
      <c r="Z325">
        <v>6307319</v>
      </c>
      <c r="AA325">
        <v>6429351</v>
      </c>
      <c r="AB325">
        <v>6552317</v>
      </c>
      <c r="AC325">
        <v>6670887</v>
      </c>
      <c r="AD325">
        <v>6789977</v>
      </c>
      <c r="AE325">
        <v>6911191</v>
      </c>
      <c r="AF325">
        <v>7034571</v>
      </c>
    </row>
    <row r="326" spans="1:32" ht="15" customHeight="1" x14ac:dyDescent="0.25">
      <c r="A326" t="s">
        <v>645</v>
      </c>
    </row>
    <row r="327" spans="1:32" ht="15" customHeight="1" x14ac:dyDescent="0.25">
      <c r="A327" t="s">
        <v>646</v>
      </c>
      <c r="B327">
        <v>68698</v>
      </c>
      <c r="C327">
        <v>81123</v>
      </c>
      <c r="D327">
        <v>91138</v>
      </c>
      <c r="E327">
        <v>99376</v>
      </c>
      <c r="F327">
        <v>105771</v>
      </c>
      <c r="G327">
        <v>111374</v>
      </c>
      <c r="H327">
        <v>116610</v>
      </c>
      <c r="I327">
        <v>121574</v>
      </c>
      <c r="J327">
        <v>126367</v>
      </c>
      <c r="K327">
        <v>130858</v>
      </c>
      <c r="L327">
        <v>135026</v>
      </c>
      <c r="M327">
        <v>138907</v>
      </c>
      <c r="N327">
        <v>142768</v>
      </c>
      <c r="O327">
        <v>146600</v>
      </c>
      <c r="P327">
        <v>150550</v>
      </c>
      <c r="Q327">
        <v>154399</v>
      </c>
      <c r="R327">
        <v>158356</v>
      </c>
      <c r="S327">
        <v>162292</v>
      </c>
      <c r="T327">
        <v>166326</v>
      </c>
      <c r="U327">
        <v>170429</v>
      </c>
      <c r="V327">
        <v>174611</v>
      </c>
      <c r="W327">
        <v>178675</v>
      </c>
      <c r="X327">
        <v>182834</v>
      </c>
      <c r="Y327">
        <v>186940</v>
      </c>
      <c r="Z327">
        <v>190936</v>
      </c>
      <c r="AA327">
        <v>194925</v>
      </c>
      <c r="AB327">
        <v>198982</v>
      </c>
      <c r="AC327">
        <v>202898</v>
      </c>
      <c r="AD327">
        <v>206865</v>
      </c>
      <c r="AE327">
        <v>210914</v>
      </c>
      <c r="AF327">
        <v>215043</v>
      </c>
    </row>
    <row r="328" spans="1:32" ht="15" customHeight="1" x14ac:dyDescent="0.25">
      <c r="A328" t="s">
        <v>47</v>
      </c>
      <c r="B328" s="9">
        <v>42304</v>
      </c>
      <c r="C328" s="9">
        <v>51486</v>
      </c>
      <c r="D328" s="9">
        <v>60626</v>
      </c>
      <c r="E328" s="9">
        <v>69162</v>
      </c>
      <c r="F328" s="9">
        <v>78328</v>
      </c>
      <c r="G328" s="9">
        <v>84351</v>
      </c>
      <c r="H328" s="9">
        <v>89226</v>
      </c>
      <c r="I328" s="9">
        <v>93294</v>
      </c>
      <c r="J328" s="9">
        <v>97576</v>
      </c>
      <c r="K328" s="9">
        <v>101281</v>
      </c>
      <c r="L328" s="9">
        <v>105113</v>
      </c>
      <c r="M328" s="9">
        <v>108345</v>
      </c>
      <c r="N328" s="9">
        <v>111974</v>
      </c>
      <c r="O328" s="9">
        <v>115154</v>
      </c>
      <c r="P328" s="9">
        <v>118924</v>
      </c>
      <c r="Q328" s="9">
        <v>122173</v>
      </c>
      <c r="R328" s="9">
        <v>125921</v>
      </c>
      <c r="S328" s="9">
        <v>129158</v>
      </c>
      <c r="T328" s="9">
        <v>133042</v>
      </c>
      <c r="U328" s="9">
        <v>136270</v>
      </c>
      <c r="V328" s="9">
        <v>140156</v>
      </c>
      <c r="W328" s="9">
        <v>143510</v>
      </c>
      <c r="X328" s="9">
        <v>147434</v>
      </c>
      <c r="Y328" s="9">
        <v>150887</v>
      </c>
      <c r="Z328" s="9">
        <v>154444</v>
      </c>
      <c r="AA328" s="9">
        <v>157501</v>
      </c>
      <c r="AB328" s="9">
        <v>161211</v>
      </c>
      <c r="AC328" s="9">
        <v>164191</v>
      </c>
      <c r="AD328" s="9">
        <v>167805</v>
      </c>
      <c r="AE328" s="9">
        <v>171499</v>
      </c>
      <c r="AF328" s="9">
        <v>175274</v>
      </c>
    </row>
    <row r="329" spans="1:32" x14ac:dyDescent="0.25">
      <c r="A329" t="s">
        <v>647</v>
      </c>
      <c r="B329">
        <v>558855</v>
      </c>
      <c r="C329">
        <v>671412</v>
      </c>
      <c r="D329">
        <v>754953</v>
      </c>
      <c r="E329">
        <v>818345</v>
      </c>
      <c r="F329">
        <v>863748</v>
      </c>
      <c r="G329">
        <v>901141</v>
      </c>
      <c r="H329">
        <v>934703</v>
      </c>
      <c r="I329">
        <v>965518</v>
      </c>
      <c r="J329">
        <v>994427</v>
      </c>
      <c r="K329">
        <v>1020616</v>
      </c>
      <c r="L329">
        <v>1043873</v>
      </c>
      <c r="M329">
        <v>1064894</v>
      </c>
      <c r="N329">
        <v>1085621</v>
      </c>
      <c r="O329">
        <v>1105949</v>
      </c>
      <c r="P329">
        <v>1126852</v>
      </c>
      <c r="Q329">
        <v>1147084</v>
      </c>
      <c r="R329">
        <v>1167731</v>
      </c>
      <c r="S329">
        <v>1188120</v>
      </c>
      <c r="T329">
        <v>1209271</v>
      </c>
      <c r="U329">
        <v>1230664</v>
      </c>
      <c r="V329">
        <v>1252388</v>
      </c>
      <c r="W329">
        <v>1273243</v>
      </c>
      <c r="X329">
        <v>1294400</v>
      </c>
      <c r="Y329">
        <v>1315091</v>
      </c>
      <c r="Z329">
        <v>1337265</v>
      </c>
      <c r="AA329">
        <v>1359761</v>
      </c>
      <c r="AB329">
        <v>1382630</v>
      </c>
      <c r="AC329">
        <v>1404564</v>
      </c>
      <c r="AD329">
        <v>1426561</v>
      </c>
      <c r="AE329">
        <v>1448903</v>
      </c>
      <c r="AF329">
        <v>1471592</v>
      </c>
    </row>
    <row r="330" spans="1:32" ht="15" customHeight="1" x14ac:dyDescent="0.25">
      <c r="A330" t="s">
        <v>648</v>
      </c>
      <c r="B330">
        <v>148455</v>
      </c>
      <c r="C330">
        <v>177864</v>
      </c>
      <c r="D330">
        <v>201116</v>
      </c>
      <c r="E330">
        <v>219743</v>
      </c>
      <c r="F330">
        <v>233964</v>
      </c>
      <c r="G330">
        <v>246279</v>
      </c>
      <c r="H330">
        <v>257769</v>
      </c>
      <c r="I330">
        <v>268694</v>
      </c>
      <c r="J330">
        <v>279271</v>
      </c>
      <c r="K330">
        <v>289229</v>
      </c>
      <c r="L330">
        <v>298504</v>
      </c>
      <c r="M330">
        <v>307245</v>
      </c>
      <c r="N330">
        <v>316024</v>
      </c>
      <c r="O330">
        <v>324790</v>
      </c>
      <c r="P330">
        <v>333846</v>
      </c>
      <c r="Q330">
        <v>342805</v>
      </c>
      <c r="R330">
        <v>351986</v>
      </c>
      <c r="S330">
        <v>361212</v>
      </c>
      <c r="T330">
        <v>370763</v>
      </c>
      <c r="U330">
        <v>380502</v>
      </c>
      <c r="V330">
        <v>390440</v>
      </c>
      <c r="W330">
        <v>400229</v>
      </c>
      <c r="X330">
        <v>410214</v>
      </c>
      <c r="Y330">
        <v>420172</v>
      </c>
      <c r="Z330">
        <v>430522</v>
      </c>
      <c r="AA330">
        <v>440903</v>
      </c>
      <c r="AB330">
        <v>451485</v>
      </c>
      <c r="AC330">
        <v>461825</v>
      </c>
      <c r="AD330">
        <v>472303</v>
      </c>
      <c r="AE330">
        <v>483019</v>
      </c>
      <c r="AF330">
        <v>493980</v>
      </c>
    </row>
    <row r="331" spans="1:32" ht="15" customHeight="1" x14ac:dyDescent="0.25">
      <c r="A331" t="s">
        <v>649</v>
      </c>
    </row>
    <row r="332" spans="1:32" ht="15" customHeight="1" x14ac:dyDescent="0.25">
      <c r="A332" t="s">
        <v>1121</v>
      </c>
    </row>
    <row r="333" spans="1:32" ht="15" customHeight="1" x14ac:dyDescent="0.25">
      <c r="A333" t="s">
        <v>650</v>
      </c>
    </row>
    <row r="334" spans="1:32" ht="15" customHeight="1" x14ac:dyDescent="0.25">
      <c r="A334" t="s">
        <v>321</v>
      </c>
      <c r="B334" s="9">
        <v>149240</v>
      </c>
      <c r="C334" s="9">
        <v>184951</v>
      </c>
      <c r="D334" s="9">
        <v>210938</v>
      </c>
      <c r="E334" s="9">
        <v>230296</v>
      </c>
      <c r="F334" s="9">
        <v>244059</v>
      </c>
      <c r="G334" s="9">
        <v>255324</v>
      </c>
      <c r="H334" s="9">
        <v>265382</v>
      </c>
      <c r="I334" s="9">
        <v>274597</v>
      </c>
      <c r="J334" s="9">
        <v>283244</v>
      </c>
      <c r="K334" s="9">
        <v>291093</v>
      </c>
      <c r="L334" s="9">
        <v>298075</v>
      </c>
      <c r="M334" s="9">
        <v>304378</v>
      </c>
      <c r="N334" s="9">
        <v>310559</v>
      </c>
      <c r="O334" s="9">
        <v>316589</v>
      </c>
      <c r="P334" s="9">
        <v>322736</v>
      </c>
      <c r="Q334" s="9">
        <v>328637</v>
      </c>
      <c r="R334" s="9">
        <v>334601</v>
      </c>
      <c r="S334" s="9">
        <v>340429</v>
      </c>
      <c r="T334" s="9">
        <v>346408</v>
      </c>
      <c r="U334" s="9">
        <v>352380</v>
      </c>
      <c r="V334" s="9">
        <v>358361</v>
      </c>
      <c r="W334" s="9">
        <v>364019</v>
      </c>
      <c r="X334" s="9">
        <v>369701</v>
      </c>
      <c r="Y334" s="9">
        <v>375175</v>
      </c>
      <c r="Z334" s="9">
        <v>380342</v>
      </c>
      <c r="AA334" s="9">
        <v>385230</v>
      </c>
      <c r="AB334" s="9">
        <v>390044</v>
      </c>
      <c r="AC334" s="9">
        <v>394460</v>
      </c>
      <c r="AD334" s="9">
        <v>398790</v>
      </c>
      <c r="AE334" s="9">
        <v>403170</v>
      </c>
      <c r="AF334" s="9">
        <v>407604</v>
      </c>
    </row>
    <row r="335" spans="1:32" x14ac:dyDescent="0.25">
      <c r="A335" t="s">
        <v>651</v>
      </c>
    </row>
    <row r="336" spans="1:32" ht="15" customHeight="1" x14ac:dyDescent="0.25">
      <c r="A336" t="s">
        <v>652</v>
      </c>
      <c r="B336">
        <v>46883</v>
      </c>
      <c r="C336">
        <v>56569</v>
      </c>
      <c r="D336">
        <v>64210</v>
      </c>
      <c r="E336">
        <v>70403</v>
      </c>
      <c r="F336">
        <v>75227</v>
      </c>
      <c r="G336">
        <v>79455</v>
      </c>
      <c r="H336">
        <v>83451</v>
      </c>
      <c r="I336">
        <v>87242</v>
      </c>
      <c r="J336">
        <v>90935</v>
      </c>
      <c r="K336">
        <v>94447</v>
      </c>
      <c r="L336">
        <v>97722</v>
      </c>
      <c r="M336">
        <v>100817</v>
      </c>
      <c r="N336">
        <v>103925</v>
      </c>
      <c r="O336">
        <v>107025</v>
      </c>
      <c r="P336">
        <v>110218</v>
      </c>
      <c r="Q336">
        <v>113389</v>
      </c>
      <c r="R336">
        <v>116603</v>
      </c>
      <c r="S336">
        <v>119847</v>
      </c>
      <c r="T336">
        <v>123201</v>
      </c>
      <c r="U336">
        <v>126584</v>
      </c>
      <c r="V336">
        <v>130064</v>
      </c>
      <c r="W336">
        <v>133459</v>
      </c>
      <c r="X336">
        <v>136924</v>
      </c>
      <c r="Y336">
        <v>140379</v>
      </c>
      <c r="Z336">
        <v>143660</v>
      </c>
      <c r="AA336">
        <v>146820</v>
      </c>
      <c r="AB336">
        <v>149980</v>
      </c>
      <c r="AC336">
        <v>153022</v>
      </c>
      <c r="AD336">
        <v>156078</v>
      </c>
      <c r="AE336">
        <v>159194</v>
      </c>
      <c r="AF336">
        <v>162372</v>
      </c>
    </row>
    <row r="337" spans="1:32" ht="15" customHeight="1" x14ac:dyDescent="0.25">
      <c r="A337" t="s">
        <v>653</v>
      </c>
      <c r="B337">
        <v>1065544</v>
      </c>
      <c r="C337">
        <v>1267973</v>
      </c>
      <c r="D337">
        <v>1426639</v>
      </c>
      <c r="E337">
        <v>1554346</v>
      </c>
      <c r="F337">
        <v>1651856</v>
      </c>
      <c r="G337">
        <v>1736198</v>
      </c>
      <c r="H337">
        <v>1814381</v>
      </c>
      <c r="I337">
        <v>1888008</v>
      </c>
      <c r="J337">
        <v>1958581</v>
      </c>
      <c r="K337">
        <v>2024189</v>
      </c>
      <c r="L337">
        <v>2084305</v>
      </c>
      <c r="M337">
        <v>2140038</v>
      </c>
      <c r="N337">
        <v>2195337</v>
      </c>
      <c r="O337">
        <v>2249900</v>
      </c>
      <c r="P337">
        <v>2305805</v>
      </c>
      <c r="Q337">
        <v>2360350</v>
      </c>
      <c r="R337">
        <v>2415832</v>
      </c>
      <c r="S337">
        <v>2470853</v>
      </c>
      <c r="T337">
        <v>2527512</v>
      </c>
      <c r="U337">
        <v>2584391</v>
      </c>
      <c r="V337">
        <v>2642211</v>
      </c>
      <c r="W337">
        <v>2698316</v>
      </c>
      <c r="X337">
        <v>2755264</v>
      </c>
      <c r="Y337">
        <v>2811444</v>
      </c>
      <c r="Z337">
        <v>2867558</v>
      </c>
      <c r="AA337">
        <v>2922995</v>
      </c>
      <c r="AB337">
        <v>2978855</v>
      </c>
      <c r="AC337">
        <v>3032702</v>
      </c>
      <c r="AD337">
        <v>3086766</v>
      </c>
      <c r="AE337">
        <v>3141796.9686969998</v>
      </c>
      <c r="AF337">
        <v>3197804.9036099999</v>
      </c>
    </row>
    <row r="338" spans="1:32" ht="15" customHeight="1" x14ac:dyDescent="0.25">
      <c r="A338" t="s">
        <v>654</v>
      </c>
    </row>
    <row r="339" spans="1:32" ht="15" customHeight="1" x14ac:dyDescent="0.25">
      <c r="A339" t="s">
        <v>655</v>
      </c>
      <c r="B339">
        <v>560858</v>
      </c>
      <c r="C339">
        <v>660967</v>
      </c>
      <c r="D339">
        <v>740498</v>
      </c>
      <c r="E339">
        <v>805041</v>
      </c>
      <c r="F339">
        <v>854237</v>
      </c>
      <c r="G339">
        <v>896730</v>
      </c>
      <c r="H339">
        <v>936082</v>
      </c>
      <c r="I339">
        <v>973042</v>
      </c>
      <c r="J339">
        <v>1008323</v>
      </c>
      <c r="K339">
        <v>1040980</v>
      </c>
      <c r="L339">
        <v>1070764</v>
      </c>
      <c r="M339">
        <v>1098290</v>
      </c>
      <c r="N339">
        <v>1125545</v>
      </c>
      <c r="O339">
        <v>1152408</v>
      </c>
      <c r="P339">
        <v>1179901</v>
      </c>
      <c r="Q339">
        <v>1206692</v>
      </c>
      <c r="R339">
        <v>1233917</v>
      </c>
      <c r="S339">
        <v>1260885</v>
      </c>
      <c r="T339">
        <v>1288688</v>
      </c>
      <c r="U339">
        <v>1316742</v>
      </c>
      <c r="V339">
        <v>1345167</v>
      </c>
      <c r="W339">
        <v>1372664</v>
      </c>
      <c r="X339">
        <v>1400532</v>
      </c>
      <c r="Y339">
        <v>1427982</v>
      </c>
      <c r="Z339">
        <v>1455715</v>
      </c>
      <c r="AA339">
        <v>1483221</v>
      </c>
      <c r="AB339">
        <v>1510977</v>
      </c>
      <c r="AC339">
        <v>1537730</v>
      </c>
      <c r="AD339">
        <v>1564598</v>
      </c>
      <c r="AE339">
        <v>1591934</v>
      </c>
      <c r="AF339">
        <v>1619750</v>
      </c>
    </row>
    <row r="340" spans="1:32" ht="15" customHeight="1" x14ac:dyDescent="0.25">
      <c r="A340" t="s">
        <v>656</v>
      </c>
      <c r="B340">
        <v>93132</v>
      </c>
      <c r="C340">
        <v>111979</v>
      </c>
      <c r="D340">
        <v>126485</v>
      </c>
      <c r="E340">
        <v>137930</v>
      </c>
      <c r="F340">
        <v>146525</v>
      </c>
      <c r="G340">
        <v>153865</v>
      </c>
      <c r="H340">
        <v>160612</v>
      </c>
      <c r="I340">
        <v>166942</v>
      </c>
      <c r="J340">
        <v>172981</v>
      </c>
      <c r="K340">
        <v>178574</v>
      </c>
      <c r="L340">
        <v>183686</v>
      </c>
      <c r="M340">
        <v>188383</v>
      </c>
      <c r="N340">
        <v>193034</v>
      </c>
      <c r="O340">
        <v>197621</v>
      </c>
      <c r="P340">
        <v>202317</v>
      </c>
      <c r="Q340">
        <v>206881</v>
      </c>
      <c r="R340">
        <v>211514</v>
      </c>
      <c r="S340">
        <v>216111</v>
      </c>
      <c r="T340">
        <v>220830</v>
      </c>
      <c r="U340">
        <v>225541</v>
      </c>
      <c r="V340">
        <v>230335</v>
      </c>
      <c r="W340">
        <v>234968</v>
      </c>
      <c r="X340">
        <v>239665</v>
      </c>
      <c r="Y340">
        <v>244286</v>
      </c>
      <c r="Z340">
        <v>248874</v>
      </c>
      <c r="AA340">
        <v>253393</v>
      </c>
      <c r="AB340">
        <v>257951</v>
      </c>
      <c r="AC340">
        <v>262310</v>
      </c>
      <c r="AD340">
        <v>266675</v>
      </c>
      <c r="AE340">
        <v>271112</v>
      </c>
      <c r="AF340">
        <v>275623</v>
      </c>
    </row>
    <row r="341" spans="1:32" ht="15" customHeight="1" x14ac:dyDescent="0.25">
      <c r="A341" t="s">
        <v>657</v>
      </c>
      <c r="B341">
        <v>10074337</v>
      </c>
      <c r="C341">
        <v>13086527</v>
      </c>
      <c r="D341">
        <v>15258427</v>
      </c>
      <c r="E341">
        <v>16856449</v>
      </c>
      <c r="F341">
        <v>17988489</v>
      </c>
      <c r="G341">
        <v>18876181</v>
      </c>
      <c r="H341">
        <v>19650078</v>
      </c>
      <c r="I341">
        <v>20389956</v>
      </c>
      <c r="J341">
        <v>21086381</v>
      </c>
      <c r="K341">
        <v>21743890</v>
      </c>
      <c r="L341">
        <v>22333282</v>
      </c>
      <c r="M341">
        <v>22890700</v>
      </c>
      <c r="N341">
        <v>23430792</v>
      </c>
      <c r="O341">
        <v>23975665</v>
      </c>
      <c r="P341">
        <v>24520452</v>
      </c>
      <c r="Q341">
        <v>25064081</v>
      </c>
      <c r="R341">
        <v>25604263</v>
      </c>
      <c r="S341">
        <v>26152304</v>
      </c>
      <c r="T341">
        <v>26703516</v>
      </c>
      <c r="U341">
        <v>27273424</v>
      </c>
      <c r="V341">
        <v>27837485</v>
      </c>
      <c r="W341">
        <v>28397043</v>
      </c>
      <c r="X341">
        <v>28951086</v>
      </c>
      <c r="Y341">
        <v>29510801</v>
      </c>
      <c r="Z341">
        <v>30061353</v>
      </c>
      <c r="AA341">
        <v>30625081</v>
      </c>
      <c r="AB341">
        <v>31182096</v>
      </c>
      <c r="AC341">
        <v>31734277</v>
      </c>
      <c r="AD341">
        <v>32275768</v>
      </c>
      <c r="AE341">
        <v>32825817.406599998</v>
      </c>
      <c r="AF341">
        <v>33385332.194600001</v>
      </c>
    </row>
    <row r="342" spans="1:32" ht="15" customHeight="1" x14ac:dyDescent="0.25">
      <c r="A342" t="s">
        <v>658</v>
      </c>
    </row>
    <row r="343" spans="1:32" ht="15" customHeight="1" x14ac:dyDescent="0.25">
      <c r="A343" t="s">
        <v>659</v>
      </c>
      <c r="B343">
        <v>729732</v>
      </c>
      <c r="C343">
        <v>869628</v>
      </c>
      <c r="D343">
        <v>980797</v>
      </c>
      <c r="E343">
        <v>1071445</v>
      </c>
      <c r="F343">
        <v>1141838</v>
      </c>
      <c r="G343">
        <v>1203505</v>
      </c>
      <c r="H343">
        <v>1261403</v>
      </c>
      <c r="I343">
        <v>1316465</v>
      </c>
      <c r="J343">
        <v>1369772</v>
      </c>
      <c r="K343">
        <v>1419942</v>
      </c>
      <c r="L343">
        <v>1466629</v>
      </c>
      <c r="M343">
        <v>1510568</v>
      </c>
      <c r="N343">
        <v>1554516</v>
      </c>
      <c r="O343">
        <v>1598311</v>
      </c>
      <c r="P343">
        <v>1643326</v>
      </c>
      <c r="Q343">
        <v>1687722</v>
      </c>
      <c r="R343">
        <v>1733115</v>
      </c>
      <c r="S343">
        <v>1778526</v>
      </c>
      <c r="T343">
        <v>1825497</v>
      </c>
      <c r="U343">
        <v>1873206</v>
      </c>
      <c r="V343">
        <v>1921866</v>
      </c>
      <c r="W343">
        <v>1969611</v>
      </c>
      <c r="X343">
        <v>2018236</v>
      </c>
      <c r="Y343">
        <v>2066649</v>
      </c>
      <c r="Z343">
        <v>2116121</v>
      </c>
      <c r="AA343">
        <v>2165774</v>
      </c>
      <c r="AB343">
        <v>2216230</v>
      </c>
      <c r="AC343">
        <v>2265612</v>
      </c>
      <c r="AD343">
        <v>2315543</v>
      </c>
      <c r="AE343">
        <v>2366582</v>
      </c>
      <c r="AF343">
        <v>2418741</v>
      </c>
    </row>
    <row r="344" spans="1:32" ht="15" customHeight="1" x14ac:dyDescent="0.25">
      <c r="A344" t="s">
        <v>1122</v>
      </c>
    </row>
    <row r="345" spans="1:32" ht="15" customHeight="1" x14ac:dyDescent="0.25">
      <c r="A345" t="s">
        <v>660</v>
      </c>
      <c r="B345">
        <v>208353</v>
      </c>
      <c r="C345">
        <v>243064</v>
      </c>
      <c r="D345">
        <v>269053</v>
      </c>
      <c r="E345">
        <v>291101</v>
      </c>
      <c r="F345">
        <v>307341</v>
      </c>
      <c r="G345">
        <v>321285</v>
      </c>
      <c r="H345">
        <v>334252</v>
      </c>
      <c r="I345">
        <v>347926</v>
      </c>
      <c r="J345">
        <v>363887</v>
      </c>
      <c r="K345">
        <v>380172</v>
      </c>
      <c r="L345">
        <v>396544</v>
      </c>
      <c r="M345">
        <v>412609</v>
      </c>
      <c r="N345">
        <v>429507</v>
      </c>
      <c r="O345">
        <v>446412</v>
      </c>
      <c r="P345">
        <v>464636</v>
      </c>
      <c r="Q345">
        <v>482651</v>
      </c>
      <c r="R345">
        <v>501987</v>
      </c>
      <c r="S345">
        <v>521409</v>
      </c>
      <c r="T345">
        <v>542440</v>
      </c>
      <c r="U345">
        <v>563656</v>
      </c>
      <c r="V345">
        <v>586433</v>
      </c>
      <c r="W345">
        <v>608976</v>
      </c>
      <c r="X345">
        <v>633242</v>
      </c>
      <c r="Y345">
        <v>657304</v>
      </c>
      <c r="Z345">
        <v>683622</v>
      </c>
      <c r="AA345">
        <v>709819</v>
      </c>
      <c r="AB345">
        <v>738021</v>
      </c>
      <c r="AC345">
        <v>765606</v>
      </c>
      <c r="AD345">
        <v>792449</v>
      </c>
      <c r="AE345">
        <v>820235</v>
      </c>
      <c r="AF345">
        <v>848994</v>
      </c>
    </row>
    <row r="346" spans="1:32" ht="15" customHeight="1" x14ac:dyDescent="0.25">
      <c r="A346" t="s">
        <v>326</v>
      </c>
      <c r="B346">
        <v>16234</v>
      </c>
      <c r="C346">
        <v>19347</v>
      </c>
      <c r="D346">
        <v>21911</v>
      </c>
      <c r="E346">
        <v>24067</v>
      </c>
      <c r="F346">
        <v>25817</v>
      </c>
      <c r="G346">
        <v>27402</v>
      </c>
      <c r="H346">
        <v>28924</v>
      </c>
      <c r="I346">
        <v>30424</v>
      </c>
      <c r="J346">
        <v>31918</v>
      </c>
      <c r="K346">
        <v>33389</v>
      </c>
      <c r="L346">
        <v>34799</v>
      </c>
      <c r="M346">
        <v>36172</v>
      </c>
      <c r="N346">
        <v>37585</v>
      </c>
      <c r="O346">
        <v>39033</v>
      </c>
      <c r="P346">
        <v>40540</v>
      </c>
      <c r="Q346">
        <v>42060</v>
      </c>
      <c r="R346">
        <v>43657</v>
      </c>
      <c r="S346">
        <v>45273</v>
      </c>
      <c r="T346">
        <v>46989</v>
      </c>
      <c r="U346">
        <v>48751</v>
      </c>
      <c r="V346">
        <v>50574</v>
      </c>
      <c r="W346">
        <v>52431</v>
      </c>
      <c r="X346">
        <v>54343</v>
      </c>
      <c r="Y346">
        <v>56307</v>
      </c>
      <c r="Z346">
        <v>58396</v>
      </c>
      <c r="AA346">
        <v>60573</v>
      </c>
      <c r="AB346">
        <v>62814</v>
      </c>
      <c r="AC346">
        <v>65076</v>
      </c>
      <c r="AD346">
        <v>67416</v>
      </c>
      <c r="AE346">
        <v>69847</v>
      </c>
      <c r="AF346">
        <v>72371</v>
      </c>
    </row>
    <row r="347" spans="1:32" x14ac:dyDescent="0.25">
      <c r="A347" t="s">
        <v>661</v>
      </c>
      <c r="B347">
        <v>1592</v>
      </c>
      <c r="C347">
        <v>1893</v>
      </c>
      <c r="D347">
        <v>2144</v>
      </c>
      <c r="E347">
        <v>2345</v>
      </c>
      <c r="F347">
        <v>2499</v>
      </c>
      <c r="G347">
        <v>2632</v>
      </c>
      <c r="H347">
        <v>2757</v>
      </c>
      <c r="I347">
        <v>2875</v>
      </c>
      <c r="J347">
        <v>2990</v>
      </c>
      <c r="K347">
        <v>3098</v>
      </c>
      <c r="L347">
        <v>3199</v>
      </c>
      <c r="M347">
        <v>3293</v>
      </c>
      <c r="N347">
        <v>3389</v>
      </c>
      <c r="O347">
        <v>3486</v>
      </c>
      <c r="P347">
        <v>3586</v>
      </c>
      <c r="Q347">
        <v>3684</v>
      </c>
      <c r="R347">
        <v>3785</v>
      </c>
      <c r="S347">
        <v>3888</v>
      </c>
      <c r="T347">
        <v>3995</v>
      </c>
      <c r="U347">
        <v>4104</v>
      </c>
      <c r="V347">
        <v>4216</v>
      </c>
      <c r="W347">
        <v>4328</v>
      </c>
      <c r="X347">
        <v>4443</v>
      </c>
      <c r="Y347">
        <v>4558</v>
      </c>
      <c r="Z347">
        <v>4679</v>
      </c>
      <c r="AA347">
        <v>4803</v>
      </c>
      <c r="AB347">
        <v>4931</v>
      </c>
      <c r="AC347">
        <v>5058</v>
      </c>
      <c r="AD347">
        <v>5188</v>
      </c>
      <c r="AE347">
        <v>5322</v>
      </c>
      <c r="AF347">
        <v>5461</v>
      </c>
    </row>
    <row r="348" spans="1:32" ht="15" customHeight="1" x14ac:dyDescent="0.25">
      <c r="A348" t="s">
        <v>662</v>
      </c>
      <c r="B348">
        <v>569199</v>
      </c>
      <c r="C348">
        <v>671200</v>
      </c>
      <c r="D348">
        <v>751498</v>
      </c>
      <c r="E348">
        <v>816097</v>
      </c>
      <c r="F348">
        <v>865061</v>
      </c>
      <c r="G348">
        <v>907118</v>
      </c>
      <c r="H348">
        <v>946033</v>
      </c>
      <c r="I348">
        <v>982449</v>
      </c>
      <c r="J348">
        <v>1017192</v>
      </c>
      <c r="K348">
        <v>1049262</v>
      </c>
      <c r="L348">
        <v>1078454</v>
      </c>
      <c r="M348">
        <v>1105339</v>
      </c>
      <c r="N348">
        <v>1131956</v>
      </c>
      <c r="O348">
        <v>1158211</v>
      </c>
      <c r="P348">
        <v>1185070</v>
      </c>
      <c r="Q348">
        <v>1211212</v>
      </c>
      <c r="R348">
        <v>1237800</v>
      </c>
      <c r="S348">
        <v>1264138</v>
      </c>
      <c r="T348">
        <v>1291332</v>
      </c>
      <c r="U348">
        <v>1318751</v>
      </c>
      <c r="V348">
        <v>1346567</v>
      </c>
      <c r="W348">
        <v>1373472</v>
      </c>
      <c r="X348">
        <v>1400703</v>
      </c>
      <c r="Y348">
        <v>1427490</v>
      </c>
      <c r="Z348">
        <v>1454776</v>
      </c>
      <c r="AA348">
        <v>1481930</v>
      </c>
      <c r="AB348">
        <v>1509359</v>
      </c>
      <c r="AC348">
        <v>1535776</v>
      </c>
      <c r="AD348">
        <v>1562287</v>
      </c>
      <c r="AE348">
        <v>1589255</v>
      </c>
      <c r="AF348">
        <v>1616688</v>
      </c>
    </row>
    <row r="349" spans="1:32" ht="15" customHeight="1" x14ac:dyDescent="0.25">
      <c r="A349" t="s">
        <v>663</v>
      </c>
    </row>
    <row r="350" spans="1:32" ht="15" customHeight="1" x14ac:dyDescent="0.25">
      <c r="A350" t="s">
        <v>664</v>
      </c>
      <c r="B350">
        <v>147158</v>
      </c>
      <c r="C350">
        <v>173441</v>
      </c>
      <c r="D350">
        <v>194446</v>
      </c>
      <c r="E350">
        <v>211600</v>
      </c>
      <c r="F350">
        <v>224816</v>
      </c>
      <c r="G350">
        <v>236363</v>
      </c>
      <c r="H350">
        <v>247118</v>
      </c>
      <c r="I350">
        <v>257261</v>
      </c>
      <c r="J350">
        <v>266971</v>
      </c>
      <c r="K350">
        <v>276032</v>
      </c>
      <c r="L350">
        <v>284344</v>
      </c>
      <c r="M350">
        <v>292026</v>
      </c>
      <c r="N350">
        <v>299680</v>
      </c>
      <c r="O350">
        <v>307219</v>
      </c>
      <c r="P350">
        <v>314966</v>
      </c>
      <c r="Q350">
        <v>322488</v>
      </c>
      <c r="R350">
        <v>330165</v>
      </c>
      <c r="S350">
        <v>337790</v>
      </c>
      <c r="T350">
        <v>345615</v>
      </c>
      <c r="U350">
        <v>353523</v>
      </c>
      <c r="V350">
        <v>361512</v>
      </c>
      <c r="W350">
        <v>369283</v>
      </c>
      <c r="X350">
        <v>377159</v>
      </c>
      <c r="Y350">
        <v>384935</v>
      </c>
      <c r="Z350">
        <v>392688</v>
      </c>
      <c r="AA350">
        <v>400352</v>
      </c>
      <c r="AB350">
        <v>408084</v>
      </c>
      <c r="AC350">
        <v>415531</v>
      </c>
      <c r="AD350">
        <v>423006</v>
      </c>
      <c r="AE350">
        <v>430612</v>
      </c>
      <c r="AF350">
        <v>438356</v>
      </c>
    </row>
    <row r="351" spans="1:32" ht="15" customHeight="1" x14ac:dyDescent="0.25">
      <c r="A351" t="s">
        <v>665</v>
      </c>
      <c r="B351">
        <v>47498</v>
      </c>
      <c r="C351">
        <v>56295</v>
      </c>
      <c r="D351">
        <v>63155</v>
      </c>
      <c r="E351">
        <v>68668</v>
      </c>
      <c r="F351">
        <v>72802</v>
      </c>
      <c r="G351">
        <v>76326</v>
      </c>
      <c r="H351">
        <v>79555</v>
      </c>
      <c r="I351">
        <v>82569</v>
      </c>
      <c r="J351">
        <v>85430</v>
      </c>
      <c r="K351">
        <v>88068</v>
      </c>
      <c r="L351">
        <v>90454</v>
      </c>
      <c r="M351">
        <v>92648</v>
      </c>
      <c r="N351">
        <v>94815</v>
      </c>
      <c r="O351">
        <v>96949</v>
      </c>
      <c r="P351">
        <v>99131</v>
      </c>
      <c r="Q351">
        <v>101254</v>
      </c>
      <c r="R351">
        <v>103410</v>
      </c>
      <c r="S351">
        <v>105547</v>
      </c>
      <c r="T351">
        <v>107747</v>
      </c>
      <c r="U351">
        <v>109971</v>
      </c>
      <c r="V351">
        <v>112222</v>
      </c>
      <c r="W351">
        <v>114398</v>
      </c>
      <c r="X351">
        <v>116601</v>
      </c>
      <c r="Y351">
        <v>118771</v>
      </c>
      <c r="Z351">
        <v>120976</v>
      </c>
      <c r="AA351">
        <v>123195</v>
      </c>
      <c r="AB351">
        <v>125447</v>
      </c>
      <c r="AC351">
        <v>127623</v>
      </c>
      <c r="AD351">
        <v>129803</v>
      </c>
      <c r="AE351">
        <v>132022</v>
      </c>
      <c r="AF351">
        <v>134278</v>
      </c>
    </row>
    <row r="352" spans="1:32" ht="15" customHeight="1" x14ac:dyDescent="0.25">
      <c r="A352" t="s">
        <v>666</v>
      </c>
      <c r="B352">
        <v>24854</v>
      </c>
      <c r="C352">
        <v>30745</v>
      </c>
      <c r="D352">
        <v>35183</v>
      </c>
      <c r="E352">
        <v>38574</v>
      </c>
      <c r="F352">
        <v>41030</v>
      </c>
      <c r="G352">
        <v>43060</v>
      </c>
      <c r="H352">
        <v>44865</v>
      </c>
      <c r="I352">
        <v>46571</v>
      </c>
      <c r="J352">
        <v>48193</v>
      </c>
      <c r="K352">
        <v>49706</v>
      </c>
      <c r="L352">
        <v>51071</v>
      </c>
      <c r="M352">
        <v>52339</v>
      </c>
      <c r="N352">
        <v>53584</v>
      </c>
      <c r="O352">
        <v>54822</v>
      </c>
      <c r="P352">
        <v>56079</v>
      </c>
      <c r="Q352">
        <v>57314</v>
      </c>
      <c r="R352">
        <v>58557</v>
      </c>
      <c r="S352">
        <v>59801</v>
      </c>
      <c r="T352">
        <v>61069</v>
      </c>
      <c r="U352">
        <v>62355</v>
      </c>
      <c r="V352">
        <v>63652</v>
      </c>
      <c r="W352">
        <v>64917</v>
      </c>
      <c r="X352">
        <v>66188</v>
      </c>
      <c r="Y352">
        <v>67450</v>
      </c>
      <c r="Z352">
        <v>68738</v>
      </c>
      <c r="AA352">
        <v>70028</v>
      </c>
      <c r="AB352">
        <v>71313</v>
      </c>
      <c r="AC352">
        <v>72564</v>
      </c>
      <c r="AD352">
        <v>73806</v>
      </c>
      <c r="AE352">
        <v>75070</v>
      </c>
      <c r="AF352">
        <v>76355</v>
      </c>
    </row>
    <row r="353" spans="1:32" ht="15" customHeight="1" x14ac:dyDescent="0.25">
      <c r="A353" t="s">
        <v>667</v>
      </c>
    </row>
    <row r="354" spans="1:32" ht="15" customHeight="1" x14ac:dyDescent="0.25">
      <c r="A354" t="s">
        <v>327</v>
      </c>
      <c r="B354">
        <v>9273</v>
      </c>
      <c r="C354">
        <v>11043</v>
      </c>
      <c r="D354">
        <v>12515</v>
      </c>
      <c r="E354">
        <v>13758</v>
      </c>
      <c r="F354">
        <v>14746</v>
      </c>
      <c r="G354">
        <v>15633</v>
      </c>
      <c r="H354">
        <v>16507</v>
      </c>
      <c r="I354">
        <v>17299</v>
      </c>
      <c r="J354">
        <v>18143</v>
      </c>
      <c r="K354">
        <v>18967</v>
      </c>
      <c r="L354">
        <v>19702</v>
      </c>
      <c r="M354">
        <v>20421</v>
      </c>
      <c r="N354">
        <v>21192</v>
      </c>
      <c r="O354">
        <v>21921</v>
      </c>
      <c r="P354">
        <v>22711</v>
      </c>
      <c r="Q354">
        <v>23536</v>
      </c>
      <c r="R354">
        <v>24327</v>
      </c>
      <c r="S354">
        <v>25167</v>
      </c>
      <c r="T354">
        <v>26026</v>
      </c>
      <c r="U354">
        <v>26895</v>
      </c>
      <c r="V354">
        <v>27819</v>
      </c>
      <c r="W354">
        <v>28730</v>
      </c>
      <c r="X354">
        <v>29699</v>
      </c>
      <c r="Y354">
        <v>30613</v>
      </c>
      <c r="Z354">
        <v>31581</v>
      </c>
      <c r="AA354">
        <v>32641</v>
      </c>
      <c r="AB354">
        <v>33654</v>
      </c>
      <c r="AC354">
        <v>34688</v>
      </c>
      <c r="AD354">
        <v>35768</v>
      </c>
      <c r="AE354">
        <v>36881</v>
      </c>
      <c r="AF354">
        <v>38029</v>
      </c>
    </row>
    <row r="355" spans="1:32" x14ac:dyDescent="0.25">
      <c r="A355" t="s">
        <v>668</v>
      </c>
      <c r="B355">
        <v>1499162</v>
      </c>
      <c r="C355">
        <v>1772887</v>
      </c>
      <c r="D355">
        <v>1987963</v>
      </c>
      <c r="E355">
        <v>2163028</v>
      </c>
      <c r="F355">
        <v>2296627</v>
      </c>
      <c r="G355">
        <v>2412007</v>
      </c>
      <c r="H355">
        <v>2518765</v>
      </c>
      <c r="I355">
        <v>2619095</v>
      </c>
      <c r="J355">
        <v>2714937</v>
      </c>
      <c r="K355">
        <v>2803760</v>
      </c>
      <c r="L355">
        <v>2884888</v>
      </c>
      <c r="M355">
        <v>2959934</v>
      </c>
      <c r="N355">
        <v>3034274</v>
      </c>
      <c r="O355">
        <v>3107570</v>
      </c>
      <c r="P355">
        <v>3182555</v>
      </c>
      <c r="Q355">
        <v>3255642</v>
      </c>
      <c r="R355">
        <v>3329916</v>
      </c>
      <c r="S355">
        <v>3403485</v>
      </c>
      <c r="T355">
        <v>3479304</v>
      </c>
      <c r="U355">
        <v>3555801</v>
      </c>
      <c r="V355">
        <v>3633293</v>
      </c>
      <c r="W355">
        <v>3708284</v>
      </c>
      <c r="X355">
        <v>3784305</v>
      </c>
      <c r="Y355">
        <v>3859196</v>
      </c>
      <c r="Z355">
        <v>3934451</v>
      </c>
      <c r="AA355">
        <v>4009018</v>
      </c>
      <c r="AB355">
        <v>4084220</v>
      </c>
      <c r="AC355">
        <v>4156718</v>
      </c>
      <c r="AD355">
        <v>4229538</v>
      </c>
      <c r="AE355">
        <v>4303616.2332819998</v>
      </c>
      <c r="AF355">
        <v>4378999.5399519997</v>
      </c>
    </row>
    <row r="356" spans="1:32" ht="15" customHeight="1" x14ac:dyDescent="0.25">
      <c r="A356" t="s">
        <v>669</v>
      </c>
      <c r="B356">
        <v>25110</v>
      </c>
      <c r="C356">
        <v>31830</v>
      </c>
      <c r="D356">
        <v>36446</v>
      </c>
      <c r="E356">
        <v>39641</v>
      </c>
      <c r="F356">
        <v>41717</v>
      </c>
      <c r="G356">
        <v>43290</v>
      </c>
      <c r="H356">
        <v>44625</v>
      </c>
      <c r="I356">
        <v>45798</v>
      </c>
      <c r="J356">
        <v>46865</v>
      </c>
      <c r="K356">
        <v>47798</v>
      </c>
      <c r="L356">
        <v>48587</v>
      </c>
      <c r="M356">
        <v>49269</v>
      </c>
      <c r="N356">
        <v>49933</v>
      </c>
      <c r="O356">
        <v>50573</v>
      </c>
      <c r="P356">
        <v>51237</v>
      </c>
      <c r="Q356">
        <v>51864</v>
      </c>
      <c r="R356">
        <v>52506</v>
      </c>
      <c r="S356">
        <v>53128</v>
      </c>
      <c r="T356">
        <v>53780</v>
      </c>
      <c r="U356">
        <v>54432</v>
      </c>
      <c r="V356">
        <v>55095</v>
      </c>
      <c r="W356">
        <v>55706</v>
      </c>
      <c r="X356">
        <v>56324</v>
      </c>
      <c r="Y356">
        <v>56909</v>
      </c>
      <c r="Z356">
        <v>57507</v>
      </c>
      <c r="AA356">
        <v>58100</v>
      </c>
      <c r="AB356">
        <v>58696</v>
      </c>
      <c r="AC356">
        <v>59238</v>
      </c>
      <c r="AD356">
        <v>59766</v>
      </c>
      <c r="AE356">
        <v>60301</v>
      </c>
      <c r="AF356">
        <v>60841</v>
      </c>
    </row>
    <row r="357" spans="1:32" ht="15" customHeight="1" x14ac:dyDescent="0.25">
      <c r="A357" t="s">
        <v>670</v>
      </c>
    </row>
    <row r="358" spans="1:32" ht="15" customHeight="1" x14ac:dyDescent="0.25">
      <c r="A358" t="s">
        <v>1123</v>
      </c>
    </row>
    <row r="359" spans="1:32" ht="15" customHeight="1" x14ac:dyDescent="0.25">
      <c r="A359" t="s">
        <v>671</v>
      </c>
      <c r="B359">
        <v>8790</v>
      </c>
      <c r="C359">
        <v>10644</v>
      </c>
      <c r="D359">
        <v>12099</v>
      </c>
      <c r="E359">
        <v>13323</v>
      </c>
      <c r="F359">
        <v>14273</v>
      </c>
      <c r="G359">
        <v>15149</v>
      </c>
      <c r="H359">
        <v>15961</v>
      </c>
      <c r="I359">
        <v>16750</v>
      </c>
      <c r="J359">
        <v>17557</v>
      </c>
      <c r="K359">
        <v>18313</v>
      </c>
      <c r="L359">
        <v>19033</v>
      </c>
      <c r="M359">
        <v>19729</v>
      </c>
      <c r="N359">
        <v>20439</v>
      </c>
      <c r="O359">
        <v>21155</v>
      </c>
      <c r="P359">
        <v>21935</v>
      </c>
      <c r="Q359">
        <v>22688</v>
      </c>
      <c r="R359">
        <v>23462</v>
      </c>
      <c r="S359">
        <v>24248</v>
      </c>
      <c r="T359">
        <v>25103</v>
      </c>
      <c r="U359">
        <v>25945</v>
      </c>
      <c r="V359">
        <v>26848</v>
      </c>
      <c r="W359">
        <v>27712</v>
      </c>
      <c r="X359">
        <v>28638</v>
      </c>
      <c r="Y359">
        <v>29573</v>
      </c>
      <c r="Z359">
        <v>30583</v>
      </c>
      <c r="AA359">
        <v>31615</v>
      </c>
      <c r="AB359">
        <v>32676</v>
      </c>
      <c r="AC359">
        <v>33727</v>
      </c>
      <c r="AD359">
        <v>34845</v>
      </c>
      <c r="AE359">
        <v>35999</v>
      </c>
      <c r="AF359">
        <v>37192</v>
      </c>
    </row>
    <row r="360" spans="1:32" ht="15" customHeight="1" x14ac:dyDescent="0.25">
      <c r="A360" t="s">
        <v>672</v>
      </c>
      <c r="B360">
        <v>5774981</v>
      </c>
      <c r="C360">
        <v>7163065</v>
      </c>
      <c r="D360">
        <v>8124227</v>
      </c>
      <c r="E360">
        <v>8860544</v>
      </c>
      <c r="F360">
        <v>9408718</v>
      </c>
      <c r="G360">
        <v>9854921</v>
      </c>
      <c r="H360">
        <v>10260895</v>
      </c>
      <c r="I360">
        <v>10638188</v>
      </c>
      <c r="J360">
        <v>10996173</v>
      </c>
      <c r="K360">
        <v>11326011</v>
      </c>
      <c r="L360">
        <v>11625428</v>
      </c>
      <c r="M360">
        <v>11901244</v>
      </c>
      <c r="N360">
        <v>12174245</v>
      </c>
      <c r="O360">
        <v>12442966</v>
      </c>
      <c r="P360">
        <v>12718157</v>
      </c>
      <c r="Q360">
        <v>12986174</v>
      </c>
      <c r="R360">
        <v>13258833</v>
      </c>
      <c r="S360">
        <v>13528778</v>
      </c>
      <c r="T360">
        <v>13807053</v>
      </c>
      <c r="U360">
        <v>14088122</v>
      </c>
      <c r="V360">
        <v>14372918</v>
      </c>
      <c r="W360">
        <v>14648265</v>
      </c>
      <c r="X360">
        <v>14927203</v>
      </c>
      <c r="Y360">
        <v>15201594</v>
      </c>
      <c r="Z360">
        <v>15483689</v>
      </c>
      <c r="AA360">
        <v>15764678</v>
      </c>
      <c r="AB360">
        <v>16048401</v>
      </c>
      <c r="AC360">
        <v>16321424</v>
      </c>
      <c r="AD360">
        <v>16595203</v>
      </c>
      <c r="AE360">
        <v>16873789.3257</v>
      </c>
      <c r="AF360">
        <v>17156646.443500001</v>
      </c>
    </row>
    <row r="361" spans="1:32" ht="15" customHeight="1" x14ac:dyDescent="0.25">
      <c r="A361" t="s">
        <v>673</v>
      </c>
      <c r="B361">
        <v>87962</v>
      </c>
      <c r="C361">
        <v>104638</v>
      </c>
      <c r="D361">
        <v>119195</v>
      </c>
      <c r="E361">
        <v>132125</v>
      </c>
      <c r="F361">
        <v>143144</v>
      </c>
      <c r="G361">
        <v>153554</v>
      </c>
      <c r="H361">
        <v>163826</v>
      </c>
      <c r="I361">
        <v>174172</v>
      </c>
      <c r="J361">
        <v>184807</v>
      </c>
      <c r="K361">
        <v>195417</v>
      </c>
      <c r="L361">
        <v>205924</v>
      </c>
      <c r="M361">
        <v>216402</v>
      </c>
      <c r="N361">
        <v>227287</v>
      </c>
      <c r="O361">
        <v>238495</v>
      </c>
      <c r="P361">
        <v>250237</v>
      </c>
      <c r="Q361">
        <v>262297</v>
      </c>
      <c r="R361">
        <v>274889</v>
      </c>
      <c r="S361">
        <v>287925</v>
      </c>
      <c r="T361">
        <v>301665</v>
      </c>
      <c r="U361">
        <v>315889</v>
      </c>
      <c r="V361">
        <v>330779</v>
      </c>
      <c r="W361">
        <v>345930</v>
      </c>
      <c r="X361">
        <v>361775</v>
      </c>
      <c r="Y361">
        <v>378056</v>
      </c>
      <c r="Z361">
        <v>394683</v>
      </c>
      <c r="AA361">
        <v>411686</v>
      </c>
      <c r="AB361">
        <v>429264</v>
      </c>
      <c r="AC361">
        <v>447154</v>
      </c>
      <c r="AD361">
        <v>465654</v>
      </c>
      <c r="AE361">
        <v>484934</v>
      </c>
      <c r="AF361">
        <v>505026</v>
      </c>
    </row>
    <row r="362" spans="1:32" ht="15" customHeight="1" x14ac:dyDescent="0.25">
      <c r="A362" t="s">
        <v>674</v>
      </c>
      <c r="B362">
        <v>128339</v>
      </c>
      <c r="C362">
        <v>156826</v>
      </c>
      <c r="D362">
        <v>177276</v>
      </c>
      <c r="E362">
        <v>192042</v>
      </c>
      <c r="F362">
        <v>202029</v>
      </c>
      <c r="G362">
        <v>209832</v>
      </c>
      <c r="H362">
        <v>216558</v>
      </c>
      <c r="I362">
        <v>223178</v>
      </c>
      <c r="J362">
        <v>230254</v>
      </c>
      <c r="K362">
        <v>237099</v>
      </c>
      <c r="L362">
        <v>243451</v>
      </c>
      <c r="M362">
        <v>249359</v>
      </c>
      <c r="N362">
        <v>255245</v>
      </c>
      <c r="O362">
        <v>261061</v>
      </c>
      <c r="P362">
        <v>267028</v>
      </c>
      <c r="Q362">
        <v>272846</v>
      </c>
      <c r="R362">
        <v>278771</v>
      </c>
      <c r="S362">
        <v>284645</v>
      </c>
      <c r="T362">
        <v>290707</v>
      </c>
      <c r="U362">
        <v>296839</v>
      </c>
      <c r="V362">
        <v>303060</v>
      </c>
      <c r="W362">
        <v>309080</v>
      </c>
      <c r="X362">
        <v>315193</v>
      </c>
      <c r="Y362">
        <v>321212</v>
      </c>
      <c r="Z362">
        <v>327238</v>
      </c>
      <c r="AA362">
        <v>333289</v>
      </c>
      <c r="AB362">
        <v>339436</v>
      </c>
      <c r="AC362">
        <v>345368</v>
      </c>
      <c r="AD362">
        <v>351330</v>
      </c>
      <c r="AE362">
        <v>357395</v>
      </c>
      <c r="AF362">
        <v>363567</v>
      </c>
    </row>
    <row r="363" spans="1:32" ht="15" customHeight="1" x14ac:dyDescent="0.25">
      <c r="A363" t="s">
        <v>675</v>
      </c>
      <c r="B363">
        <v>24706</v>
      </c>
      <c r="C363">
        <v>30207</v>
      </c>
      <c r="D363">
        <v>34196</v>
      </c>
      <c r="E363">
        <v>37097</v>
      </c>
      <c r="F363">
        <v>39065</v>
      </c>
      <c r="G363">
        <v>40615</v>
      </c>
      <c r="H363">
        <v>41964</v>
      </c>
      <c r="I363">
        <v>43181</v>
      </c>
      <c r="J363">
        <v>44306</v>
      </c>
      <c r="K363">
        <v>45310</v>
      </c>
      <c r="L363">
        <v>46179</v>
      </c>
      <c r="M363">
        <v>46950</v>
      </c>
      <c r="N363">
        <v>47705</v>
      </c>
      <c r="O363">
        <v>48446</v>
      </c>
      <c r="P363">
        <v>49208</v>
      </c>
      <c r="Q363">
        <v>49941</v>
      </c>
      <c r="R363">
        <v>50686</v>
      </c>
      <c r="S363">
        <v>51421</v>
      </c>
      <c r="T363">
        <v>52184</v>
      </c>
      <c r="U363">
        <v>52954</v>
      </c>
      <c r="V363">
        <v>53730</v>
      </c>
      <c r="W363">
        <v>54467</v>
      </c>
      <c r="X363">
        <v>55211</v>
      </c>
      <c r="Y363">
        <v>55929</v>
      </c>
      <c r="Z363">
        <v>56687</v>
      </c>
      <c r="AA363">
        <v>57444</v>
      </c>
      <c r="AB363">
        <v>58203</v>
      </c>
      <c r="AC363">
        <v>58912</v>
      </c>
      <c r="AD363">
        <v>59615</v>
      </c>
      <c r="AE363">
        <v>60328</v>
      </c>
      <c r="AF363">
        <v>61051</v>
      </c>
    </row>
    <row r="364" spans="1:32" ht="15" customHeight="1" x14ac:dyDescent="0.25">
      <c r="A364" t="s">
        <v>676</v>
      </c>
      <c r="B364">
        <v>418165</v>
      </c>
      <c r="C364">
        <v>504498</v>
      </c>
      <c r="D364">
        <v>575114</v>
      </c>
      <c r="E364">
        <v>634382</v>
      </c>
      <c r="F364">
        <v>682246</v>
      </c>
      <c r="G364">
        <v>725516</v>
      </c>
      <c r="H364">
        <v>767006</v>
      </c>
      <c r="I364">
        <v>807292</v>
      </c>
      <c r="J364">
        <v>847013</v>
      </c>
      <c r="K364">
        <v>885275</v>
      </c>
      <c r="L364">
        <v>921783</v>
      </c>
      <c r="M364">
        <v>956988</v>
      </c>
      <c r="N364">
        <v>992614</v>
      </c>
      <c r="O364">
        <v>1028474</v>
      </c>
      <c r="P364">
        <v>1065539</v>
      </c>
      <c r="Q364">
        <v>1102594</v>
      </c>
      <c r="R364">
        <v>1140704</v>
      </c>
      <c r="S364">
        <v>1179169</v>
      </c>
      <c r="T364">
        <v>1219061</v>
      </c>
      <c r="U364">
        <v>1259863</v>
      </c>
      <c r="V364">
        <v>1301693</v>
      </c>
      <c r="W364">
        <v>1343299</v>
      </c>
      <c r="X364">
        <v>1385951</v>
      </c>
      <c r="Y364">
        <v>1428930</v>
      </c>
      <c r="Z364">
        <v>1471500</v>
      </c>
      <c r="AA364">
        <v>1513884</v>
      </c>
      <c r="AB364">
        <v>1556963</v>
      </c>
      <c r="AC364">
        <v>1599580</v>
      </c>
      <c r="AD364">
        <v>1642947</v>
      </c>
      <c r="AE364">
        <v>1687494</v>
      </c>
      <c r="AF364">
        <v>1733246</v>
      </c>
    </row>
    <row r="365" spans="1:32" ht="15" customHeight="1" x14ac:dyDescent="0.25">
      <c r="A365" t="s">
        <v>677</v>
      </c>
      <c r="B365">
        <v>38930</v>
      </c>
      <c r="C365">
        <v>47967</v>
      </c>
      <c r="D365">
        <v>54882</v>
      </c>
      <c r="E365">
        <v>60221</v>
      </c>
      <c r="F365">
        <v>64149</v>
      </c>
      <c r="G365">
        <v>67429</v>
      </c>
      <c r="H365">
        <v>70389</v>
      </c>
      <c r="I365">
        <v>73180</v>
      </c>
      <c r="J365">
        <v>75839</v>
      </c>
      <c r="K365">
        <v>78324</v>
      </c>
      <c r="L365">
        <v>80584</v>
      </c>
      <c r="M365">
        <v>82688</v>
      </c>
      <c r="N365">
        <v>84763</v>
      </c>
      <c r="O365">
        <v>86828</v>
      </c>
      <c r="P365">
        <v>88929</v>
      </c>
      <c r="Q365">
        <v>90996</v>
      </c>
      <c r="R365">
        <v>93087</v>
      </c>
      <c r="S365">
        <v>95177</v>
      </c>
      <c r="T365">
        <v>97316</v>
      </c>
      <c r="U365">
        <v>99486</v>
      </c>
      <c r="V365">
        <v>101676</v>
      </c>
      <c r="W365">
        <v>103815</v>
      </c>
      <c r="X365">
        <v>105975</v>
      </c>
      <c r="Y365">
        <v>108123</v>
      </c>
      <c r="Z365">
        <v>110234</v>
      </c>
      <c r="AA365">
        <v>112347</v>
      </c>
      <c r="AB365">
        <v>114473</v>
      </c>
      <c r="AC365">
        <v>116543</v>
      </c>
      <c r="AD365">
        <v>118608</v>
      </c>
      <c r="AE365">
        <v>120709</v>
      </c>
      <c r="AF365">
        <v>122848</v>
      </c>
    </row>
    <row r="366" spans="1:32" ht="15" customHeight="1" x14ac:dyDescent="0.25">
      <c r="A366" t="s">
        <v>678</v>
      </c>
      <c r="B366">
        <v>290039</v>
      </c>
      <c r="C366">
        <v>354541</v>
      </c>
      <c r="D366">
        <v>403608</v>
      </c>
      <c r="E366">
        <v>441905</v>
      </c>
      <c r="F366">
        <v>470569</v>
      </c>
      <c r="G366">
        <v>494984</v>
      </c>
      <c r="H366">
        <v>517422</v>
      </c>
      <c r="I366">
        <v>538447</v>
      </c>
      <c r="J366">
        <v>558536</v>
      </c>
      <c r="K366">
        <v>577178</v>
      </c>
      <c r="L366">
        <v>594247</v>
      </c>
      <c r="M366">
        <v>610082</v>
      </c>
      <c r="N366">
        <v>625778</v>
      </c>
      <c r="O366">
        <v>641299</v>
      </c>
      <c r="P366">
        <v>657177</v>
      </c>
      <c r="Q366">
        <v>672674</v>
      </c>
      <c r="R366">
        <v>688451</v>
      </c>
      <c r="S366">
        <v>704102</v>
      </c>
      <c r="T366">
        <v>720241</v>
      </c>
      <c r="U366">
        <v>736551</v>
      </c>
      <c r="V366">
        <v>753097</v>
      </c>
      <c r="W366">
        <v>769128</v>
      </c>
      <c r="X366">
        <v>785385</v>
      </c>
      <c r="Y366">
        <v>801437</v>
      </c>
      <c r="Z366">
        <v>817484</v>
      </c>
      <c r="AA366">
        <v>833339</v>
      </c>
      <c r="AB366">
        <v>849342</v>
      </c>
      <c r="AC366">
        <v>864770</v>
      </c>
      <c r="AD366">
        <v>880267</v>
      </c>
      <c r="AE366">
        <v>896042</v>
      </c>
      <c r="AF366">
        <v>912098</v>
      </c>
    </row>
    <row r="367" spans="1:32" ht="15" customHeight="1" x14ac:dyDescent="0.25">
      <c r="A367" t="s">
        <v>679</v>
      </c>
      <c r="B367">
        <v>3202</v>
      </c>
      <c r="C367">
        <v>3672</v>
      </c>
      <c r="D367">
        <v>4062</v>
      </c>
      <c r="E367">
        <v>4391</v>
      </c>
      <c r="F367">
        <v>4646</v>
      </c>
      <c r="G367">
        <v>4869</v>
      </c>
      <c r="H367">
        <v>5079</v>
      </c>
      <c r="I367">
        <v>5276</v>
      </c>
      <c r="J367">
        <v>5465</v>
      </c>
      <c r="K367">
        <v>5642</v>
      </c>
      <c r="L367">
        <v>5803</v>
      </c>
      <c r="M367">
        <v>5953</v>
      </c>
      <c r="N367">
        <v>6101</v>
      </c>
      <c r="O367">
        <v>6247</v>
      </c>
      <c r="P367">
        <v>6397</v>
      </c>
      <c r="Q367">
        <v>6544</v>
      </c>
      <c r="R367">
        <v>6692</v>
      </c>
      <c r="S367">
        <v>6839</v>
      </c>
      <c r="T367">
        <v>6988</v>
      </c>
      <c r="U367">
        <v>7141</v>
      </c>
      <c r="V367">
        <v>7293</v>
      </c>
      <c r="W367">
        <v>7439</v>
      </c>
      <c r="X367">
        <v>7587</v>
      </c>
      <c r="Y367">
        <v>7734</v>
      </c>
      <c r="Z367">
        <v>7873</v>
      </c>
      <c r="AA367">
        <v>8009</v>
      </c>
      <c r="AB367">
        <v>8143</v>
      </c>
      <c r="AC367">
        <v>8269</v>
      </c>
      <c r="AD367">
        <v>8394</v>
      </c>
      <c r="AE367">
        <v>8522</v>
      </c>
      <c r="AF367">
        <v>8651</v>
      </c>
    </row>
    <row r="368" spans="1:32" ht="15" customHeight="1" x14ac:dyDescent="0.25">
      <c r="A368" t="s">
        <v>680</v>
      </c>
      <c r="B368">
        <v>3592</v>
      </c>
      <c r="C368">
        <v>4206</v>
      </c>
      <c r="D368">
        <v>4701</v>
      </c>
      <c r="E368">
        <v>5105</v>
      </c>
      <c r="F368">
        <v>5416</v>
      </c>
      <c r="G368">
        <v>5685</v>
      </c>
      <c r="H368">
        <v>5936</v>
      </c>
      <c r="I368">
        <v>6174</v>
      </c>
      <c r="J368">
        <v>6401</v>
      </c>
      <c r="K368">
        <v>6613</v>
      </c>
      <c r="L368">
        <v>6802</v>
      </c>
      <c r="M368">
        <v>6982</v>
      </c>
      <c r="N368">
        <v>7156</v>
      </c>
      <c r="O368">
        <v>7329</v>
      </c>
      <c r="P368">
        <v>7505</v>
      </c>
      <c r="Q368">
        <v>7679</v>
      </c>
      <c r="R368">
        <v>7854</v>
      </c>
      <c r="S368">
        <v>8028</v>
      </c>
      <c r="T368">
        <v>8207</v>
      </c>
      <c r="U368">
        <v>8388</v>
      </c>
      <c r="V368">
        <v>8568</v>
      </c>
      <c r="W368">
        <v>8743</v>
      </c>
      <c r="X368">
        <v>8922</v>
      </c>
      <c r="Y368">
        <v>9097</v>
      </c>
      <c r="Z368">
        <v>9271</v>
      </c>
      <c r="AA368">
        <v>9439</v>
      </c>
      <c r="AB368">
        <v>9608</v>
      </c>
      <c r="AC368">
        <v>9772</v>
      </c>
      <c r="AD368">
        <v>9934</v>
      </c>
      <c r="AE368">
        <v>10102</v>
      </c>
      <c r="AF368">
        <v>10270</v>
      </c>
    </row>
    <row r="369" spans="1:32" ht="15" customHeight="1" x14ac:dyDescent="0.25">
      <c r="A369" t="s">
        <v>1124</v>
      </c>
    </row>
    <row r="370" spans="1:32" ht="15" customHeight="1" x14ac:dyDescent="0.25">
      <c r="A370" t="s">
        <v>681</v>
      </c>
      <c r="B370">
        <v>1463192</v>
      </c>
      <c r="C370">
        <v>1760307</v>
      </c>
      <c r="D370">
        <v>1990392</v>
      </c>
      <c r="E370">
        <v>2173182</v>
      </c>
      <c r="F370">
        <v>2311701</v>
      </c>
      <c r="G370">
        <v>2430877</v>
      </c>
      <c r="H370">
        <v>2541023</v>
      </c>
      <c r="I370">
        <v>2644504</v>
      </c>
      <c r="J370">
        <v>2743482</v>
      </c>
      <c r="K370">
        <v>2835456</v>
      </c>
      <c r="L370">
        <v>2919654</v>
      </c>
      <c r="M370">
        <v>2997745</v>
      </c>
      <c r="N370">
        <v>3075199</v>
      </c>
      <c r="O370">
        <v>3151645</v>
      </c>
      <c r="P370">
        <v>3229855</v>
      </c>
      <c r="Q370">
        <v>3306251</v>
      </c>
      <c r="R370">
        <v>3383957</v>
      </c>
      <c r="S370">
        <v>3460992</v>
      </c>
      <c r="T370">
        <v>3540291</v>
      </c>
      <c r="U370">
        <v>3620407</v>
      </c>
      <c r="V370">
        <v>3701578</v>
      </c>
      <c r="W370">
        <v>3780202</v>
      </c>
      <c r="X370">
        <v>3859955</v>
      </c>
      <c r="Y370">
        <v>3938632</v>
      </c>
      <c r="Z370">
        <v>4017099</v>
      </c>
      <c r="AA370">
        <v>4094543</v>
      </c>
      <c r="AB370">
        <v>4172534</v>
      </c>
      <c r="AC370">
        <v>4247728</v>
      </c>
      <c r="AD370">
        <v>4323270</v>
      </c>
      <c r="AE370">
        <v>4400157</v>
      </c>
      <c r="AF370">
        <v>4478409</v>
      </c>
    </row>
    <row r="371" spans="1:32" ht="15" customHeight="1" x14ac:dyDescent="0.25">
      <c r="A371" t="s">
        <v>682</v>
      </c>
      <c r="B371">
        <v>636245</v>
      </c>
      <c r="C371">
        <v>773725</v>
      </c>
      <c r="D371">
        <v>883033</v>
      </c>
      <c r="E371">
        <v>972186</v>
      </c>
      <c r="F371">
        <v>1042270</v>
      </c>
      <c r="G371">
        <v>1104210</v>
      </c>
      <c r="H371">
        <v>1162664</v>
      </c>
      <c r="I371">
        <v>1218754</v>
      </c>
      <c r="J371">
        <v>1273254</v>
      </c>
      <c r="K371">
        <v>1325049</v>
      </c>
      <c r="L371">
        <v>1373723</v>
      </c>
      <c r="M371">
        <v>1419988</v>
      </c>
      <c r="N371">
        <v>1466333</v>
      </c>
      <c r="O371">
        <v>1512673</v>
      </c>
      <c r="P371">
        <v>1560294</v>
      </c>
      <c r="Q371">
        <v>1607381</v>
      </c>
      <c r="R371">
        <v>1655607</v>
      </c>
      <c r="S371">
        <v>1703874</v>
      </c>
      <c r="T371">
        <v>1753678</v>
      </c>
      <c r="U371">
        <v>1804299</v>
      </c>
      <c r="V371">
        <v>1855838</v>
      </c>
      <c r="W371">
        <v>1906625</v>
      </c>
      <c r="X371">
        <v>1958266</v>
      </c>
      <c r="Y371">
        <v>2009827</v>
      </c>
      <c r="Z371">
        <v>2058088</v>
      </c>
      <c r="AA371">
        <v>2104686</v>
      </c>
      <c r="AB371">
        <v>2151196</v>
      </c>
      <c r="AC371">
        <v>2196284</v>
      </c>
      <c r="AD371">
        <v>2241567</v>
      </c>
      <c r="AE371">
        <v>2287785</v>
      </c>
      <c r="AF371">
        <v>2334954</v>
      </c>
    </row>
    <row r="372" spans="1:32" ht="15" customHeight="1" x14ac:dyDescent="0.25">
      <c r="A372" t="s">
        <v>683</v>
      </c>
      <c r="B372">
        <v>255543</v>
      </c>
      <c r="C372">
        <v>315344</v>
      </c>
      <c r="D372">
        <v>352943</v>
      </c>
      <c r="E372">
        <v>385801</v>
      </c>
      <c r="F372">
        <v>407557</v>
      </c>
      <c r="G372">
        <v>426261</v>
      </c>
      <c r="H372">
        <v>441915</v>
      </c>
      <c r="I372">
        <v>458547</v>
      </c>
      <c r="J372">
        <v>474057</v>
      </c>
      <c r="K372">
        <v>489935</v>
      </c>
      <c r="L372">
        <v>503864</v>
      </c>
      <c r="M372">
        <v>517278</v>
      </c>
      <c r="N372">
        <v>530341</v>
      </c>
      <c r="O372">
        <v>543299</v>
      </c>
      <c r="P372">
        <v>556554</v>
      </c>
      <c r="Q372">
        <v>569445</v>
      </c>
      <c r="R372">
        <v>582550</v>
      </c>
      <c r="S372">
        <v>595587</v>
      </c>
      <c r="T372">
        <v>609029</v>
      </c>
      <c r="U372">
        <v>622532</v>
      </c>
      <c r="V372">
        <v>636190</v>
      </c>
      <c r="W372">
        <v>649487</v>
      </c>
      <c r="X372">
        <v>662998</v>
      </c>
      <c r="Y372">
        <v>676231</v>
      </c>
      <c r="Z372">
        <v>689554</v>
      </c>
      <c r="AA372">
        <v>702641</v>
      </c>
      <c r="AB372">
        <v>716017</v>
      </c>
      <c r="AC372">
        <v>728699</v>
      </c>
      <c r="AD372">
        <v>741128</v>
      </c>
      <c r="AE372">
        <v>753766</v>
      </c>
      <c r="AF372">
        <v>766621</v>
      </c>
    </row>
    <row r="373" spans="1:32" ht="15" customHeight="1" x14ac:dyDescent="0.25">
      <c r="A373" t="s">
        <v>684</v>
      </c>
      <c r="B373">
        <v>73191</v>
      </c>
      <c r="C373">
        <v>94966</v>
      </c>
      <c r="D373">
        <v>110597</v>
      </c>
      <c r="E373">
        <v>122434</v>
      </c>
      <c r="F373">
        <v>130807</v>
      </c>
      <c r="G373">
        <v>137694</v>
      </c>
      <c r="H373">
        <v>143747</v>
      </c>
      <c r="I373">
        <v>149493</v>
      </c>
      <c r="J373">
        <v>154893</v>
      </c>
      <c r="K373">
        <v>159980</v>
      </c>
      <c r="L373">
        <v>164542</v>
      </c>
      <c r="M373">
        <v>168848</v>
      </c>
      <c r="N373">
        <v>173031</v>
      </c>
      <c r="O373">
        <v>177249</v>
      </c>
      <c r="P373">
        <v>181477</v>
      </c>
      <c r="Q373">
        <v>185693</v>
      </c>
      <c r="R373">
        <v>189894</v>
      </c>
      <c r="S373">
        <v>194154</v>
      </c>
      <c r="T373">
        <v>198451</v>
      </c>
      <c r="U373">
        <v>202892</v>
      </c>
      <c r="V373">
        <v>207298</v>
      </c>
      <c r="W373">
        <v>211660</v>
      </c>
      <c r="X373">
        <v>215993</v>
      </c>
      <c r="Y373">
        <v>220362</v>
      </c>
      <c r="Z373">
        <v>224613</v>
      </c>
      <c r="AA373">
        <v>228957</v>
      </c>
      <c r="AB373">
        <v>233251</v>
      </c>
      <c r="AC373">
        <v>237499</v>
      </c>
      <c r="AD373">
        <v>241669</v>
      </c>
      <c r="AE373">
        <v>245913</v>
      </c>
      <c r="AF373">
        <v>250231</v>
      </c>
    </row>
    <row r="374" spans="1:32" ht="15" customHeight="1" x14ac:dyDescent="0.25">
      <c r="A374" t="s">
        <v>685</v>
      </c>
      <c r="B374">
        <v>39054</v>
      </c>
      <c r="C374">
        <v>45299</v>
      </c>
      <c r="D374">
        <v>50641</v>
      </c>
      <c r="E374">
        <v>55224</v>
      </c>
      <c r="F374">
        <v>58928</v>
      </c>
      <c r="G374">
        <v>62261</v>
      </c>
      <c r="H374">
        <v>65445</v>
      </c>
      <c r="I374">
        <v>68683</v>
      </c>
      <c r="J374">
        <v>72105</v>
      </c>
      <c r="K374">
        <v>75517</v>
      </c>
      <c r="L374">
        <v>78853</v>
      </c>
      <c r="M374">
        <v>82130</v>
      </c>
      <c r="N374">
        <v>85474</v>
      </c>
      <c r="O374">
        <v>88882</v>
      </c>
      <c r="P374">
        <v>92422</v>
      </c>
      <c r="Q374">
        <v>96008</v>
      </c>
      <c r="R374">
        <v>99713</v>
      </c>
      <c r="S374">
        <v>103487</v>
      </c>
      <c r="T374">
        <v>107430</v>
      </c>
      <c r="U374">
        <v>111496</v>
      </c>
      <c r="V374">
        <v>115698</v>
      </c>
      <c r="W374">
        <v>119917</v>
      </c>
      <c r="X374">
        <v>124287</v>
      </c>
      <c r="Y374">
        <v>128722</v>
      </c>
      <c r="Z374">
        <v>133259</v>
      </c>
      <c r="AA374">
        <v>137869</v>
      </c>
      <c r="AB374">
        <v>142615</v>
      </c>
      <c r="AC374">
        <v>147376</v>
      </c>
      <c r="AD374">
        <v>152264</v>
      </c>
      <c r="AE374">
        <v>157323</v>
      </c>
      <c r="AF374">
        <v>162553</v>
      </c>
    </row>
    <row r="375" spans="1:32" ht="15" customHeight="1" x14ac:dyDescent="0.25">
      <c r="A375" t="s">
        <v>686</v>
      </c>
      <c r="B375">
        <v>7647578</v>
      </c>
      <c r="C375">
        <v>9400171</v>
      </c>
      <c r="D375">
        <v>10643196</v>
      </c>
      <c r="E375">
        <v>11607412</v>
      </c>
      <c r="F375">
        <v>12331705</v>
      </c>
      <c r="G375">
        <v>12929093</v>
      </c>
      <c r="H375">
        <v>13478977</v>
      </c>
      <c r="I375">
        <v>14008075</v>
      </c>
      <c r="J375">
        <v>14534768</v>
      </c>
      <c r="K375">
        <v>15035076</v>
      </c>
      <c r="L375">
        <v>15500385</v>
      </c>
      <c r="M375">
        <v>15930885</v>
      </c>
      <c r="N375">
        <v>16362975</v>
      </c>
      <c r="O375">
        <v>16792565</v>
      </c>
      <c r="P375">
        <v>17233184</v>
      </c>
      <c r="Q375">
        <v>17665273</v>
      </c>
      <c r="R375">
        <v>18105087</v>
      </c>
      <c r="S375">
        <v>18542264</v>
      </c>
      <c r="T375">
        <v>18992133</v>
      </c>
      <c r="U375">
        <v>19378127</v>
      </c>
      <c r="V375">
        <v>19806491</v>
      </c>
      <c r="W375">
        <v>20237308</v>
      </c>
      <c r="X375">
        <v>20680835</v>
      </c>
      <c r="Y375">
        <v>21121994</v>
      </c>
      <c r="Z375">
        <v>21558154</v>
      </c>
      <c r="AA375">
        <v>21987741</v>
      </c>
      <c r="AB375">
        <v>22420202</v>
      </c>
      <c r="AC375">
        <v>22837940</v>
      </c>
      <c r="AD375">
        <v>23257533</v>
      </c>
      <c r="AE375">
        <v>23684677.748599999</v>
      </c>
      <c r="AF375">
        <v>24119686.9397</v>
      </c>
    </row>
    <row r="376" spans="1:32" ht="15" customHeight="1" x14ac:dyDescent="0.25">
      <c r="A376" t="s">
        <v>687</v>
      </c>
      <c r="B376">
        <v>6733627</v>
      </c>
      <c r="C376">
        <v>8045842</v>
      </c>
      <c r="D376">
        <v>9152467</v>
      </c>
      <c r="E376">
        <v>10011326</v>
      </c>
      <c r="F376">
        <v>10650414</v>
      </c>
      <c r="G376">
        <v>11193123</v>
      </c>
      <c r="H376">
        <v>11691513</v>
      </c>
      <c r="I376">
        <v>12159984</v>
      </c>
      <c r="J376">
        <v>12609742</v>
      </c>
      <c r="K376">
        <v>13029239</v>
      </c>
      <c r="L376">
        <v>13414918</v>
      </c>
      <c r="M376">
        <v>13774769</v>
      </c>
      <c r="N376">
        <v>14133664</v>
      </c>
      <c r="O376">
        <v>14490130</v>
      </c>
      <c r="P376">
        <v>14857056</v>
      </c>
      <c r="Q376">
        <v>15217798</v>
      </c>
      <c r="R376">
        <v>15586895</v>
      </c>
      <c r="S376">
        <v>15955580</v>
      </c>
      <c r="T376">
        <v>16337431</v>
      </c>
      <c r="U376">
        <v>16725684</v>
      </c>
      <c r="V376">
        <v>17121601</v>
      </c>
      <c r="W376">
        <v>17508943</v>
      </c>
      <c r="X376">
        <v>17903858</v>
      </c>
      <c r="Y376">
        <v>18296076</v>
      </c>
      <c r="Z376">
        <v>18708619</v>
      </c>
      <c r="AA376">
        <v>19127543</v>
      </c>
      <c r="AB376">
        <v>19555314</v>
      </c>
      <c r="AC376">
        <v>19973755</v>
      </c>
      <c r="AD376">
        <v>20396742</v>
      </c>
      <c r="AE376">
        <v>20828725</v>
      </c>
      <c r="AF376">
        <v>21269892</v>
      </c>
    </row>
    <row r="377" spans="1:32" ht="15" customHeight="1" x14ac:dyDescent="0.25">
      <c r="A377" t="s">
        <v>688</v>
      </c>
      <c r="B377">
        <v>635222</v>
      </c>
      <c r="C377">
        <v>809659</v>
      </c>
      <c r="D377">
        <v>940477</v>
      </c>
      <c r="E377">
        <v>1043466</v>
      </c>
      <c r="F377">
        <v>1115260</v>
      </c>
      <c r="G377">
        <v>1172726</v>
      </c>
      <c r="H377">
        <v>1223199</v>
      </c>
      <c r="I377">
        <v>1269415</v>
      </c>
      <c r="J377">
        <v>1312739</v>
      </c>
      <c r="K377">
        <v>1352466</v>
      </c>
      <c r="L377">
        <v>1388137</v>
      </c>
      <c r="M377">
        <v>1420871</v>
      </c>
      <c r="N377">
        <v>1453077</v>
      </c>
      <c r="O377">
        <v>1484804</v>
      </c>
      <c r="P377">
        <v>1517172</v>
      </c>
      <c r="Q377">
        <v>1548685</v>
      </c>
      <c r="R377">
        <v>1580626</v>
      </c>
      <c r="S377">
        <v>1612289</v>
      </c>
      <c r="T377">
        <v>1644834</v>
      </c>
      <c r="U377">
        <v>1677800</v>
      </c>
      <c r="V377">
        <v>1711050</v>
      </c>
      <c r="W377">
        <v>1743202</v>
      </c>
      <c r="X377">
        <v>1775654</v>
      </c>
      <c r="Y377">
        <v>1807620</v>
      </c>
      <c r="Z377">
        <v>1840436</v>
      </c>
      <c r="AA377">
        <v>1873429</v>
      </c>
      <c r="AB377">
        <v>1906732</v>
      </c>
      <c r="AC377">
        <v>1938869</v>
      </c>
      <c r="AD377">
        <v>1970996</v>
      </c>
      <c r="AE377">
        <v>2003661</v>
      </c>
      <c r="AF377">
        <v>2036878</v>
      </c>
    </row>
    <row r="378" spans="1:32" ht="15" customHeight="1" x14ac:dyDescent="0.25">
      <c r="A378" t="s">
        <v>689</v>
      </c>
      <c r="B378">
        <v>1814613</v>
      </c>
      <c r="C378">
        <v>2236212</v>
      </c>
      <c r="D378">
        <v>2536611</v>
      </c>
      <c r="E378">
        <v>2770684</v>
      </c>
      <c r="F378">
        <v>2947432</v>
      </c>
      <c r="G378">
        <v>3095399</v>
      </c>
      <c r="H378">
        <v>3231450</v>
      </c>
      <c r="I378">
        <v>3358986</v>
      </c>
      <c r="J378">
        <v>3480710</v>
      </c>
      <c r="K378">
        <v>3593622</v>
      </c>
      <c r="L378">
        <v>3696920</v>
      </c>
      <c r="M378">
        <v>3792637</v>
      </c>
      <c r="N378">
        <v>3887542</v>
      </c>
      <c r="O378">
        <v>3981125</v>
      </c>
      <c r="P378">
        <v>4076917</v>
      </c>
      <c r="Q378">
        <v>4170318</v>
      </c>
      <c r="R378">
        <v>4265299</v>
      </c>
      <c r="S378">
        <v>4359451</v>
      </c>
      <c r="T378">
        <v>4456296</v>
      </c>
      <c r="U378">
        <v>4554063</v>
      </c>
      <c r="V378">
        <v>4653080</v>
      </c>
      <c r="W378">
        <v>4749045</v>
      </c>
      <c r="X378">
        <v>4846272</v>
      </c>
      <c r="Y378">
        <v>4942150</v>
      </c>
      <c r="Z378">
        <v>5037812</v>
      </c>
      <c r="AA378">
        <v>5132234</v>
      </c>
      <c r="AB378">
        <v>5227271</v>
      </c>
      <c r="AC378">
        <v>5318828</v>
      </c>
      <c r="AD378">
        <v>5410740</v>
      </c>
      <c r="AE378">
        <v>5504204.27092</v>
      </c>
      <c r="AF378">
        <v>5599290.9378899997</v>
      </c>
    </row>
    <row r="379" spans="1:32" ht="15" customHeight="1" x14ac:dyDescent="0.25">
      <c r="A379" t="s">
        <v>690</v>
      </c>
      <c r="B379">
        <v>158343</v>
      </c>
      <c r="C379">
        <v>188976</v>
      </c>
      <c r="D379">
        <v>213414</v>
      </c>
      <c r="E379">
        <v>233243</v>
      </c>
      <c r="F379">
        <v>248571</v>
      </c>
      <c r="G379">
        <v>261966</v>
      </c>
      <c r="H379">
        <v>274509</v>
      </c>
      <c r="I379">
        <v>286441</v>
      </c>
      <c r="J379">
        <v>297982</v>
      </c>
      <c r="K379">
        <v>308853</v>
      </c>
      <c r="L379">
        <v>318945</v>
      </c>
      <c r="M379">
        <v>328452</v>
      </c>
      <c r="N379">
        <v>337951</v>
      </c>
      <c r="O379">
        <v>347400</v>
      </c>
      <c r="P379">
        <v>357105</v>
      </c>
      <c r="Q379">
        <v>366660</v>
      </c>
      <c r="R379">
        <v>376411</v>
      </c>
      <c r="S379">
        <v>386138</v>
      </c>
      <c r="T379">
        <v>396169</v>
      </c>
      <c r="U379">
        <v>406332</v>
      </c>
      <c r="V379">
        <v>416648</v>
      </c>
      <c r="W379">
        <v>426718</v>
      </c>
      <c r="X379">
        <v>436941</v>
      </c>
      <c r="Y379">
        <v>447079</v>
      </c>
      <c r="Z379">
        <v>456895</v>
      </c>
      <c r="AA379">
        <v>466463</v>
      </c>
      <c r="AB379">
        <v>476044</v>
      </c>
      <c r="AC379">
        <v>485290</v>
      </c>
      <c r="AD379">
        <v>494563</v>
      </c>
      <c r="AE379">
        <v>504016</v>
      </c>
      <c r="AF379">
        <v>513649</v>
      </c>
    </row>
    <row r="380" spans="1:32" ht="15" customHeight="1" x14ac:dyDescent="0.25">
      <c r="A380" t="s">
        <v>691</v>
      </c>
      <c r="B380">
        <v>215457</v>
      </c>
      <c r="C380">
        <v>275474</v>
      </c>
      <c r="D380">
        <v>317973</v>
      </c>
      <c r="E380">
        <v>349639</v>
      </c>
      <c r="F380">
        <v>371393</v>
      </c>
      <c r="G380">
        <v>389169</v>
      </c>
      <c r="H380">
        <v>404448</v>
      </c>
      <c r="I380">
        <v>418885</v>
      </c>
      <c r="J380">
        <v>432098</v>
      </c>
      <c r="K380">
        <v>444555</v>
      </c>
      <c r="L380">
        <v>455332</v>
      </c>
      <c r="M380">
        <v>465550</v>
      </c>
      <c r="N380">
        <v>475249</v>
      </c>
      <c r="O380">
        <v>485202</v>
      </c>
      <c r="P380">
        <v>495006</v>
      </c>
      <c r="Q380">
        <v>504943</v>
      </c>
      <c r="R380">
        <v>514662</v>
      </c>
      <c r="S380">
        <v>524704</v>
      </c>
      <c r="T380">
        <v>534661</v>
      </c>
      <c r="U380">
        <v>545190</v>
      </c>
      <c r="V380">
        <v>555441</v>
      </c>
      <c r="W380">
        <v>565758</v>
      </c>
      <c r="X380">
        <v>575765</v>
      </c>
      <c r="Y380">
        <v>586016</v>
      </c>
      <c r="Z380">
        <v>596530</v>
      </c>
      <c r="AA380">
        <v>607439</v>
      </c>
      <c r="AB380">
        <v>617989</v>
      </c>
      <c r="AC380">
        <v>628546</v>
      </c>
      <c r="AD380">
        <v>638701</v>
      </c>
      <c r="AE380">
        <v>649023</v>
      </c>
      <c r="AF380">
        <v>659517</v>
      </c>
    </row>
    <row r="381" spans="1:32" ht="15" customHeight="1" x14ac:dyDescent="0.25">
      <c r="A381" t="s">
        <v>692</v>
      </c>
      <c r="B381">
        <v>1189282</v>
      </c>
      <c r="C381">
        <v>1420913</v>
      </c>
      <c r="D381">
        <v>1602264</v>
      </c>
      <c r="E381">
        <v>1747520</v>
      </c>
      <c r="F381">
        <v>1858014</v>
      </c>
      <c r="G381">
        <v>1953327</v>
      </c>
      <c r="H381">
        <v>2041485</v>
      </c>
      <c r="I381">
        <v>2126318</v>
      </c>
      <c r="J381">
        <v>2210510</v>
      </c>
      <c r="K381">
        <v>2290477</v>
      </c>
      <c r="L381">
        <v>2364929</v>
      </c>
      <c r="M381">
        <v>2434963</v>
      </c>
      <c r="N381">
        <v>2504744</v>
      </c>
      <c r="O381">
        <v>2573941</v>
      </c>
      <c r="P381">
        <v>2644855</v>
      </c>
      <c r="Q381">
        <v>2714474</v>
      </c>
      <c r="R381">
        <v>2785337</v>
      </c>
      <c r="S381">
        <v>2855843</v>
      </c>
      <c r="T381">
        <v>2928449</v>
      </c>
      <c r="U381">
        <v>3001858</v>
      </c>
      <c r="V381">
        <v>3076372</v>
      </c>
      <c r="W381">
        <v>3149003</v>
      </c>
      <c r="X381">
        <v>3222732</v>
      </c>
      <c r="Y381">
        <v>3295842</v>
      </c>
      <c r="Z381">
        <v>3367157</v>
      </c>
      <c r="AA381">
        <v>3436965</v>
      </c>
      <c r="AB381">
        <v>3507168</v>
      </c>
      <c r="AC381">
        <v>3575097</v>
      </c>
      <c r="AD381">
        <v>3643378</v>
      </c>
      <c r="AE381">
        <v>3712967</v>
      </c>
      <c r="AF381">
        <v>3783880</v>
      </c>
    </row>
    <row r="382" spans="1:32" ht="15" customHeight="1" x14ac:dyDescent="0.25">
      <c r="A382" t="s">
        <v>693</v>
      </c>
      <c r="B382">
        <v>342041</v>
      </c>
      <c r="C382">
        <v>405447</v>
      </c>
      <c r="D382">
        <v>460772</v>
      </c>
      <c r="E382">
        <v>509872</v>
      </c>
      <c r="F382">
        <v>551681</v>
      </c>
      <c r="G382">
        <v>590839</v>
      </c>
      <c r="H382">
        <v>629752</v>
      </c>
      <c r="I382">
        <v>668454</v>
      </c>
      <c r="J382">
        <v>707810</v>
      </c>
      <c r="K382">
        <v>746829</v>
      </c>
      <c r="L382">
        <v>785146</v>
      </c>
      <c r="M382">
        <v>823429</v>
      </c>
      <c r="N382">
        <v>862851</v>
      </c>
      <c r="O382">
        <v>903612</v>
      </c>
      <c r="P382">
        <v>946172</v>
      </c>
      <c r="Q382">
        <v>989919</v>
      </c>
      <c r="R382">
        <v>1035820</v>
      </c>
      <c r="S382">
        <v>1082890</v>
      </c>
      <c r="T382">
        <v>1132773</v>
      </c>
      <c r="U382">
        <v>1184606</v>
      </c>
      <c r="V382">
        <v>1238428</v>
      </c>
      <c r="W382">
        <v>1293673</v>
      </c>
      <c r="X382">
        <v>1351206</v>
      </c>
      <c r="Y382">
        <v>1410473</v>
      </c>
      <c r="Z382">
        <v>1474879</v>
      </c>
      <c r="AA382">
        <v>1541765</v>
      </c>
      <c r="AB382">
        <v>1611510</v>
      </c>
      <c r="AC382">
        <v>1682599</v>
      </c>
      <c r="AD382">
        <v>1756591</v>
      </c>
      <c r="AE382">
        <v>1833838</v>
      </c>
      <c r="AF382">
        <v>1914486</v>
      </c>
    </row>
    <row r="383" spans="1:32" ht="15" customHeight="1" x14ac:dyDescent="0.25">
      <c r="A383" t="s">
        <v>694</v>
      </c>
      <c r="B383">
        <v>29433</v>
      </c>
      <c r="C383">
        <v>41158</v>
      </c>
      <c r="D383">
        <v>49674</v>
      </c>
      <c r="E383">
        <v>55631</v>
      </c>
      <c r="F383">
        <v>59650</v>
      </c>
      <c r="G383">
        <v>62762</v>
      </c>
      <c r="H383">
        <v>65442</v>
      </c>
      <c r="I383">
        <v>67854</v>
      </c>
      <c r="J383">
        <v>70094</v>
      </c>
      <c r="K383">
        <v>72130</v>
      </c>
      <c r="L383">
        <v>73948</v>
      </c>
      <c r="M383">
        <v>75598</v>
      </c>
      <c r="N383">
        <v>77220</v>
      </c>
      <c r="O383">
        <v>78802</v>
      </c>
      <c r="P383">
        <v>80420</v>
      </c>
      <c r="Q383">
        <v>81977</v>
      </c>
      <c r="R383">
        <v>83548</v>
      </c>
      <c r="S383">
        <v>85091</v>
      </c>
      <c r="T383">
        <v>86673</v>
      </c>
      <c r="U383">
        <v>88256</v>
      </c>
      <c r="V383">
        <v>89848</v>
      </c>
      <c r="W383">
        <v>91357</v>
      </c>
      <c r="X383">
        <v>92871</v>
      </c>
      <c r="Y383">
        <v>94339</v>
      </c>
      <c r="Z383">
        <v>95730</v>
      </c>
      <c r="AA383">
        <v>97045</v>
      </c>
      <c r="AB383">
        <v>98344</v>
      </c>
      <c r="AC383">
        <v>99549</v>
      </c>
      <c r="AD383">
        <v>100733</v>
      </c>
      <c r="AE383">
        <v>101931</v>
      </c>
      <c r="AF383">
        <v>103144</v>
      </c>
    </row>
    <row r="384" spans="1:32" ht="15" customHeight="1" x14ac:dyDescent="0.25">
      <c r="A384" t="s">
        <v>695</v>
      </c>
      <c r="B384">
        <v>20695390</v>
      </c>
      <c r="C384">
        <v>27558476</v>
      </c>
      <c r="D384">
        <v>32428654</v>
      </c>
      <c r="E384">
        <v>35936115</v>
      </c>
      <c r="F384">
        <v>38310505</v>
      </c>
      <c r="G384">
        <v>40211012</v>
      </c>
      <c r="H384">
        <v>41827708</v>
      </c>
      <c r="I384">
        <v>43401191</v>
      </c>
      <c r="J384">
        <v>44871343</v>
      </c>
      <c r="K384">
        <v>46268429</v>
      </c>
      <c r="L384">
        <v>47497741</v>
      </c>
      <c r="M384">
        <v>48667265</v>
      </c>
      <c r="N384">
        <v>49783291</v>
      </c>
      <c r="O384">
        <v>50922573</v>
      </c>
      <c r="P384">
        <v>52047044</v>
      </c>
      <c r="Q384">
        <v>53181986</v>
      </c>
      <c r="R384">
        <v>54293533</v>
      </c>
      <c r="S384">
        <v>55435994</v>
      </c>
      <c r="T384">
        <v>56570586</v>
      </c>
      <c r="U384">
        <v>57760187</v>
      </c>
      <c r="V384">
        <v>58921328</v>
      </c>
      <c r="W384">
        <v>60086165</v>
      </c>
      <c r="X384">
        <v>61221865</v>
      </c>
      <c r="Y384">
        <v>62383345</v>
      </c>
      <c r="Z384">
        <v>63532122</v>
      </c>
      <c r="AA384">
        <v>64725955</v>
      </c>
      <c r="AB384">
        <v>65888397</v>
      </c>
      <c r="AC384">
        <v>67053425</v>
      </c>
      <c r="AD384">
        <v>68176839</v>
      </c>
      <c r="AE384">
        <v>69319089</v>
      </c>
      <c r="AF384">
        <v>70480501</v>
      </c>
    </row>
    <row r="385" spans="1:32" ht="15" customHeight="1" x14ac:dyDescent="0.25">
      <c r="A385" t="s">
        <v>696</v>
      </c>
      <c r="B385">
        <v>482187</v>
      </c>
      <c r="C385">
        <v>573214</v>
      </c>
      <c r="D385">
        <v>643912</v>
      </c>
      <c r="E385">
        <v>700350</v>
      </c>
      <c r="F385">
        <v>742775</v>
      </c>
      <c r="G385">
        <v>779011</v>
      </c>
      <c r="H385">
        <v>812312</v>
      </c>
      <c r="I385">
        <v>843429</v>
      </c>
      <c r="J385">
        <v>873029</v>
      </c>
      <c r="K385">
        <v>900323</v>
      </c>
      <c r="L385">
        <v>925099</v>
      </c>
      <c r="M385">
        <v>947884</v>
      </c>
      <c r="N385">
        <v>970437</v>
      </c>
      <c r="O385">
        <v>992628</v>
      </c>
      <c r="P385">
        <v>1015350</v>
      </c>
      <c r="Q385">
        <v>1037460</v>
      </c>
      <c r="R385">
        <v>1059948</v>
      </c>
      <c r="S385">
        <v>1082199</v>
      </c>
      <c r="T385">
        <v>1105143</v>
      </c>
      <c r="U385">
        <v>1128322</v>
      </c>
      <c r="V385">
        <v>1151790</v>
      </c>
      <c r="W385">
        <v>1174460</v>
      </c>
      <c r="X385">
        <v>1197443</v>
      </c>
      <c r="Y385">
        <v>1220055</v>
      </c>
      <c r="Z385">
        <v>1243102</v>
      </c>
      <c r="AA385">
        <v>1266104</v>
      </c>
      <c r="AB385">
        <v>1289374</v>
      </c>
      <c r="AC385">
        <v>1311786</v>
      </c>
      <c r="AD385">
        <v>1334285</v>
      </c>
      <c r="AE385">
        <v>1357172</v>
      </c>
      <c r="AF385">
        <v>1380449</v>
      </c>
    </row>
    <row r="386" spans="1:32" ht="15" customHeight="1" x14ac:dyDescent="0.25">
      <c r="A386" t="s">
        <v>328</v>
      </c>
      <c r="B386">
        <v>12681</v>
      </c>
      <c r="C386">
        <v>15585</v>
      </c>
      <c r="D386">
        <v>17957</v>
      </c>
      <c r="E386">
        <v>19885</v>
      </c>
      <c r="F386">
        <v>21397</v>
      </c>
      <c r="G386">
        <v>22734</v>
      </c>
      <c r="H386">
        <v>23994</v>
      </c>
      <c r="I386">
        <v>25214</v>
      </c>
      <c r="J386">
        <v>26419</v>
      </c>
      <c r="K386">
        <v>27572</v>
      </c>
      <c r="L386">
        <v>28680</v>
      </c>
      <c r="M386">
        <v>29750</v>
      </c>
      <c r="N386">
        <v>30833</v>
      </c>
      <c r="O386">
        <v>31925</v>
      </c>
      <c r="P386">
        <v>33061</v>
      </c>
      <c r="Q386">
        <v>34205</v>
      </c>
      <c r="R386">
        <v>35383</v>
      </c>
      <c r="S386">
        <v>36576</v>
      </c>
      <c r="T386">
        <v>37821</v>
      </c>
      <c r="U386">
        <v>39100</v>
      </c>
      <c r="V386">
        <v>40416</v>
      </c>
      <c r="W386">
        <v>41734</v>
      </c>
      <c r="X386">
        <v>43089</v>
      </c>
      <c r="Y386">
        <v>44459</v>
      </c>
      <c r="Z386">
        <v>45850</v>
      </c>
      <c r="AA386">
        <v>47271</v>
      </c>
      <c r="AB386">
        <v>48725</v>
      </c>
      <c r="AC386">
        <v>50184</v>
      </c>
      <c r="AD386">
        <v>51673</v>
      </c>
      <c r="AE386">
        <v>53210</v>
      </c>
      <c r="AF386">
        <v>54800</v>
      </c>
    </row>
    <row r="387" spans="1:32" x14ac:dyDescent="0.25">
      <c r="A387" t="s">
        <v>697</v>
      </c>
      <c r="B387">
        <v>16697</v>
      </c>
      <c r="C387">
        <v>20136</v>
      </c>
      <c r="D387">
        <v>22750</v>
      </c>
      <c r="E387">
        <v>24784</v>
      </c>
      <c r="F387">
        <v>26285</v>
      </c>
      <c r="G387">
        <v>27548</v>
      </c>
      <c r="H387">
        <v>28705</v>
      </c>
      <c r="I387">
        <v>29781</v>
      </c>
      <c r="J387">
        <v>30808</v>
      </c>
      <c r="K387">
        <v>31751</v>
      </c>
      <c r="L387">
        <v>32604</v>
      </c>
      <c r="M387">
        <v>33394</v>
      </c>
      <c r="N387">
        <v>34168</v>
      </c>
      <c r="O387">
        <v>34935</v>
      </c>
      <c r="P387">
        <v>35719</v>
      </c>
      <c r="Q387">
        <v>36484</v>
      </c>
      <c r="R387">
        <v>37265</v>
      </c>
      <c r="S387">
        <v>38033</v>
      </c>
      <c r="T387">
        <v>38831</v>
      </c>
      <c r="U387">
        <v>39634</v>
      </c>
      <c r="V387">
        <v>40448</v>
      </c>
      <c r="W387">
        <v>41237</v>
      </c>
      <c r="X387">
        <v>42034</v>
      </c>
      <c r="Y387">
        <v>42820</v>
      </c>
      <c r="Z387">
        <v>43625</v>
      </c>
      <c r="AA387">
        <v>44429</v>
      </c>
      <c r="AB387">
        <v>45234</v>
      </c>
      <c r="AC387">
        <v>46015</v>
      </c>
      <c r="AD387">
        <v>46797</v>
      </c>
      <c r="AE387">
        <v>47590</v>
      </c>
      <c r="AF387">
        <v>48402</v>
      </c>
    </row>
    <row r="388" spans="1:32" ht="15" customHeight="1" x14ac:dyDescent="0.25">
      <c r="A388" t="s">
        <v>698</v>
      </c>
      <c r="B388">
        <v>795040</v>
      </c>
      <c r="C388">
        <v>939930</v>
      </c>
      <c r="D388">
        <v>1056660</v>
      </c>
      <c r="E388">
        <v>1152781</v>
      </c>
      <c r="F388">
        <v>1227884</v>
      </c>
      <c r="G388">
        <v>1294031</v>
      </c>
      <c r="H388">
        <v>1356162</v>
      </c>
      <c r="I388">
        <v>1417243</v>
      </c>
      <c r="J388">
        <v>1479287</v>
      </c>
      <c r="K388">
        <v>1539445</v>
      </c>
      <c r="L388">
        <v>1596553</v>
      </c>
      <c r="M388">
        <v>1651206</v>
      </c>
      <c r="N388">
        <v>1706258</v>
      </c>
      <c r="O388">
        <v>1761364</v>
      </c>
      <c r="P388">
        <v>1818131</v>
      </c>
      <c r="Q388">
        <v>1874503</v>
      </c>
      <c r="R388">
        <v>1932188</v>
      </c>
      <c r="S388">
        <v>1990209</v>
      </c>
      <c r="T388">
        <v>2050159</v>
      </c>
      <c r="U388">
        <v>2111216</v>
      </c>
      <c r="V388">
        <v>2173591</v>
      </c>
      <c r="W388">
        <v>2235130</v>
      </c>
      <c r="X388">
        <v>2298038</v>
      </c>
      <c r="Y388">
        <v>2361014</v>
      </c>
      <c r="Z388">
        <v>2423467</v>
      </c>
      <c r="AA388">
        <v>2485510</v>
      </c>
      <c r="AB388">
        <v>2548368</v>
      </c>
      <c r="AC388">
        <v>2610127</v>
      </c>
      <c r="AD388">
        <v>2672726</v>
      </c>
      <c r="AE388">
        <v>2736830</v>
      </c>
      <c r="AF388">
        <v>2802471</v>
      </c>
    </row>
    <row r="389" spans="1:32" ht="15" customHeight="1" x14ac:dyDescent="0.25">
      <c r="A389" t="s">
        <v>699</v>
      </c>
      <c r="B389">
        <v>33931</v>
      </c>
      <c r="C389">
        <v>43745</v>
      </c>
      <c r="D389">
        <v>54156</v>
      </c>
      <c r="E389">
        <v>66098</v>
      </c>
      <c r="F389">
        <v>73994</v>
      </c>
      <c r="G389">
        <v>79594</v>
      </c>
      <c r="H389">
        <v>83964</v>
      </c>
      <c r="I389">
        <v>87681</v>
      </c>
      <c r="J389">
        <v>91124</v>
      </c>
      <c r="K389">
        <v>94119</v>
      </c>
      <c r="L389">
        <v>96920</v>
      </c>
      <c r="M389">
        <v>99405</v>
      </c>
      <c r="N389">
        <v>101889</v>
      </c>
      <c r="O389">
        <v>104340</v>
      </c>
      <c r="P389">
        <v>106825</v>
      </c>
      <c r="Q389">
        <v>109192</v>
      </c>
      <c r="R389">
        <v>111680</v>
      </c>
      <c r="S389">
        <v>114125</v>
      </c>
      <c r="T389">
        <v>116571</v>
      </c>
      <c r="U389">
        <v>119027</v>
      </c>
      <c r="V389">
        <v>121558</v>
      </c>
      <c r="W389">
        <v>123929</v>
      </c>
      <c r="X389">
        <v>126319</v>
      </c>
      <c r="Y389">
        <v>128731</v>
      </c>
      <c r="Z389">
        <v>130977</v>
      </c>
      <c r="AA389">
        <v>133187</v>
      </c>
      <c r="AB389">
        <v>135337</v>
      </c>
      <c r="AC389">
        <v>137477</v>
      </c>
      <c r="AD389">
        <v>139558</v>
      </c>
      <c r="AE389">
        <v>141671</v>
      </c>
      <c r="AF389">
        <v>143815</v>
      </c>
    </row>
    <row r="390" spans="1:32" ht="15" customHeight="1" x14ac:dyDescent="0.25">
      <c r="A390" t="s">
        <v>700</v>
      </c>
      <c r="B390">
        <v>19348</v>
      </c>
      <c r="C390">
        <v>23952</v>
      </c>
      <c r="D390">
        <v>27581</v>
      </c>
      <c r="E390">
        <v>30534</v>
      </c>
      <c r="F390">
        <v>32873</v>
      </c>
      <c r="G390">
        <v>34961</v>
      </c>
      <c r="H390">
        <v>36952</v>
      </c>
      <c r="I390">
        <v>38883</v>
      </c>
      <c r="J390">
        <v>40794</v>
      </c>
      <c r="K390">
        <v>42640</v>
      </c>
      <c r="L390">
        <v>44410</v>
      </c>
      <c r="M390">
        <v>46126</v>
      </c>
      <c r="N390">
        <v>47868</v>
      </c>
      <c r="O390">
        <v>49631</v>
      </c>
      <c r="P390">
        <v>51462</v>
      </c>
      <c r="Q390">
        <v>53301</v>
      </c>
      <c r="R390">
        <v>55201</v>
      </c>
      <c r="S390">
        <v>57129</v>
      </c>
      <c r="T390">
        <v>59138</v>
      </c>
      <c r="U390">
        <v>61199</v>
      </c>
      <c r="V390">
        <v>63322</v>
      </c>
      <c r="W390">
        <v>65445</v>
      </c>
      <c r="X390">
        <v>67630</v>
      </c>
      <c r="Y390">
        <v>69839</v>
      </c>
      <c r="Z390">
        <v>72084</v>
      </c>
      <c r="AA390">
        <v>74351</v>
      </c>
      <c r="AB390">
        <v>76673</v>
      </c>
      <c r="AC390">
        <v>78985</v>
      </c>
      <c r="AD390">
        <v>81347</v>
      </c>
      <c r="AE390">
        <v>83783</v>
      </c>
      <c r="AF390">
        <v>86295</v>
      </c>
    </row>
    <row r="391" spans="1:32" ht="15" customHeight="1" x14ac:dyDescent="0.25">
      <c r="A391" t="s">
        <v>50</v>
      </c>
      <c r="B391" s="9">
        <v>4052</v>
      </c>
      <c r="C391" s="9">
        <v>4961</v>
      </c>
      <c r="D391" s="9">
        <v>5677</v>
      </c>
      <c r="E391" s="9">
        <v>6262</v>
      </c>
      <c r="F391" s="9">
        <v>6713</v>
      </c>
      <c r="G391" s="9">
        <v>7106</v>
      </c>
      <c r="H391" s="9">
        <v>7484</v>
      </c>
      <c r="I391" s="9">
        <v>7844</v>
      </c>
      <c r="J391" s="9">
        <v>8187</v>
      </c>
      <c r="K391" s="9">
        <v>8524</v>
      </c>
      <c r="L391" s="9">
        <v>8845</v>
      </c>
      <c r="M391" s="9">
        <v>9132</v>
      </c>
      <c r="N391" s="9">
        <v>9443</v>
      </c>
      <c r="O391" s="9">
        <v>9746</v>
      </c>
      <c r="P391" s="9">
        <v>10049</v>
      </c>
      <c r="Q391" s="9">
        <v>10353</v>
      </c>
      <c r="R391" s="9">
        <v>10674</v>
      </c>
      <c r="S391" s="9">
        <v>11001</v>
      </c>
      <c r="T391" s="9">
        <v>11326</v>
      </c>
      <c r="U391" s="9">
        <v>11656</v>
      </c>
      <c r="V391" s="9">
        <v>12003</v>
      </c>
      <c r="W391" s="9">
        <v>12342</v>
      </c>
      <c r="X391" s="9">
        <v>12671</v>
      </c>
      <c r="Y391" s="9">
        <v>13015</v>
      </c>
      <c r="Z391" s="9">
        <v>13325</v>
      </c>
      <c r="AA391" s="9">
        <v>13645</v>
      </c>
      <c r="AB391" s="9">
        <v>13948</v>
      </c>
      <c r="AC391" s="9">
        <v>14242</v>
      </c>
      <c r="AD391" s="9">
        <v>14539</v>
      </c>
      <c r="AE391" s="9">
        <v>14842</v>
      </c>
      <c r="AF391" s="9">
        <v>15150</v>
      </c>
    </row>
    <row r="392" spans="1:32" x14ac:dyDescent="0.25">
      <c r="A392" t="s">
        <v>701</v>
      </c>
      <c r="B392">
        <v>51318</v>
      </c>
      <c r="C392">
        <v>69634</v>
      </c>
      <c r="D392">
        <v>82941</v>
      </c>
      <c r="E392">
        <v>92602</v>
      </c>
      <c r="F392">
        <v>99494</v>
      </c>
      <c r="G392">
        <v>105052</v>
      </c>
      <c r="H392">
        <v>110038</v>
      </c>
      <c r="I392">
        <v>114644</v>
      </c>
      <c r="J392">
        <v>118946</v>
      </c>
      <c r="K392">
        <v>122956</v>
      </c>
      <c r="L392">
        <v>126640</v>
      </c>
      <c r="M392">
        <v>130007</v>
      </c>
      <c r="N392">
        <v>133367</v>
      </c>
      <c r="O392">
        <v>136664</v>
      </c>
      <c r="P392">
        <v>140012</v>
      </c>
      <c r="Q392">
        <v>143292</v>
      </c>
      <c r="R392">
        <v>146609</v>
      </c>
      <c r="S392">
        <v>149910</v>
      </c>
      <c r="T392">
        <v>153283</v>
      </c>
      <c r="U392">
        <v>156688</v>
      </c>
      <c r="V392">
        <v>160159</v>
      </c>
      <c r="W392">
        <v>163475</v>
      </c>
      <c r="X392">
        <v>166832</v>
      </c>
      <c r="Y392">
        <v>170134</v>
      </c>
      <c r="Z392">
        <v>173568</v>
      </c>
      <c r="AA392">
        <v>176931</v>
      </c>
      <c r="AB392">
        <v>180314</v>
      </c>
      <c r="AC392">
        <v>183605</v>
      </c>
      <c r="AD392">
        <v>186903</v>
      </c>
      <c r="AE392">
        <v>190261</v>
      </c>
      <c r="AF392">
        <v>193679</v>
      </c>
    </row>
    <row r="393" spans="1:32" ht="15" customHeight="1" x14ac:dyDescent="0.25">
      <c r="A393" t="s">
        <v>329</v>
      </c>
      <c r="B393">
        <v>19582</v>
      </c>
      <c r="C393">
        <v>23561</v>
      </c>
      <c r="D393">
        <v>26402</v>
      </c>
      <c r="E393">
        <v>28622</v>
      </c>
      <c r="F393">
        <v>30095</v>
      </c>
      <c r="G393">
        <v>31390</v>
      </c>
      <c r="H393">
        <v>32447</v>
      </c>
      <c r="I393">
        <v>33545</v>
      </c>
      <c r="J393">
        <v>34505</v>
      </c>
      <c r="K393">
        <v>35526</v>
      </c>
      <c r="L393">
        <v>36320</v>
      </c>
      <c r="M393">
        <v>37179</v>
      </c>
      <c r="N393">
        <v>37923</v>
      </c>
      <c r="O393">
        <v>38776</v>
      </c>
      <c r="P393">
        <v>39534</v>
      </c>
      <c r="Q393">
        <v>40413</v>
      </c>
      <c r="R393">
        <v>41164</v>
      </c>
      <c r="S393">
        <v>42066</v>
      </c>
      <c r="T393">
        <v>42823</v>
      </c>
      <c r="U393">
        <v>43749</v>
      </c>
      <c r="V393">
        <v>44544</v>
      </c>
      <c r="W393">
        <v>45456</v>
      </c>
      <c r="X393">
        <v>46242</v>
      </c>
      <c r="Y393">
        <v>47184</v>
      </c>
      <c r="Z393">
        <v>48032</v>
      </c>
      <c r="AA393">
        <v>49036</v>
      </c>
      <c r="AB393">
        <v>49912</v>
      </c>
      <c r="AC393">
        <v>50914</v>
      </c>
      <c r="AD393">
        <v>51729</v>
      </c>
      <c r="AE393">
        <v>52557</v>
      </c>
      <c r="AF393">
        <v>53400</v>
      </c>
    </row>
    <row r="394" spans="1:32" x14ac:dyDescent="0.25">
      <c r="A394" t="s">
        <v>330</v>
      </c>
      <c r="B394">
        <v>17493</v>
      </c>
      <c r="C394">
        <v>25074</v>
      </c>
      <c r="D394">
        <v>30192</v>
      </c>
      <c r="E394">
        <v>33600</v>
      </c>
      <c r="F394">
        <v>35703</v>
      </c>
      <c r="G394">
        <v>37146</v>
      </c>
      <c r="H394">
        <v>38397</v>
      </c>
      <c r="I394">
        <v>39440</v>
      </c>
      <c r="J394">
        <v>40364</v>
      </c>
      <c r="K394">
        <v>41099</v>
      </c>
      <c r="L394">
        <v>41757</v>
      </c>
      <c r="M394">
        <v>42310</v>
      </c>
      <c r="N394">
        <v>42745</v>
      </c>
      <c r="O394">
        <v>43242</v>
      </c>
      <c r="P394">
        <v>43759</v>
      </c>
      <c r="Q394">
        <v>44181</v>
      </c>
      <c r="R394">
        <v>44664</v>
      </c>
      <c r="S394">
        <v>45172</v>
      </c>
      <c r="T394">
        <v>45602</v>
      </c>
      <c r="U394">
        <v>46074</v>
      </c>
      <c r="V394">
        <v>46580</v>
      </c>
      <c r="W394">
        <v>46945</v>
      </c>
      <c r="X394">
        <v>47396</v>
      </c>
      <c r="Y394">
        <v>47760</v>
      </c>
      <c r="Z394">
        <v>48156</v>
      </c>
      <c r="AA394">
        <v>48576</v>
      </c>
      <c r="AB394">
        <v>48945</v>
      </c>
      <c r="AC394">
        <v>49290</v>
      </c>
      <c r="AD394">
        <v>49628</v>
      </c>
      <c r="AE394">
        <v>49967</v>
      </c>
      <c r="AF394">
        <v>50309</v>
      </c>
    </row>
    <row r="395" spans="1:32" x14ac:dyDescent="0.25">
      <c r="A395" t="s">
        <v>53</v>
      </c>
      <c r="B395" s="9">
        <v>6024</v>
      </c>
      <c r="C395" s="9">
        <v>7035</v>
      </c>
      <c r="D395" s="9">
        <v>7887</v>
      </c>
      <c r="E395" s="9">
        <v>8615</v>
      </c>
      <c r="F395" s="9">
        <v>9206</v>
      </c>
      <c r="G395" s="9">
        <v>9740</v>
      </c>
      <c r="H395" s="9">
        <v>10255</v>
      </c>
      <c r="I395" s="9">
        <v>10755</v>
      </c>
      <c r="J395" s="9">
        <v>11253</v>
      </c>
      <c r="K395" s="9">
        <v>11733</v>
      </c>
      <c r="L395" s="9">
        <v>12191</v>
      </c>
      <c r="M395" s="9">
        <v>12633</v>
      </c>
      <c r="N395" s="9">
        <v>13079</v>
      </c>
      <c r="O395" s="9">
        <v>13530</v>
      </c>
      <c r="P395" s="9">
        <v>13998</v>
      </c>
      <c r="Q395" s="9">
        <v>14464</v>
      </c>
      <c r="R395" s="9">
        <v>14947</v>
      </c>
      <c r="S395" s="9">
        <v>15435</v>
      </c>
      <c r="T395" s="9">
        <v>15941</v>
      </c>
      <c r="U395" s="9">
        <v>16458</v>
      </c>
      <c r="V395" s="9">
        <v>16990</v>
      </c>
      <c r="W395" s="9">
        <v>17517</v>
      </c>
      <c r="X395" s="9">
        <v>18060</v>
      </c>
      <c r="Y395" s="9">
        <v>18603</v>
      </c>
      <c r="Z395" s="9">
        <v>19156</v>
      </c>
      <c r="AA395" s="9">
        <v>19707</v>
      </c>
      <c r="AB395" s="9">
        <v>20268</v>
      </c>
      <c r="AC395" s="9">
        <v>20821</v>
      </c>
      <c r="AD395" s="9">
        <v>21383</v>
      </c>
      <c r="AE395" s="9">
        <v>21959</v>
      </c>
      <c r="AF395" s="9">
        <v>22552</v>
      </c>
    </row>
    <row r="396" spans="1:32" x14ac:dyDescent="0.25">
      <c r="A396" t="s">
        <v>702</v>
      </c>
      <c r="B396">
        <v>13617</v>
      </c>
      <c r="C396">
        <v>17082</v>
      </c>
      <c r="D396">
        <v>19582</v>
      </c>
      <c r="E396">
        <v>21417</v>
      </c>
      <c r="F396">
        <v>22704</v>
      </c>
      <c r="G396">
        <v>23748</v>
      </c>
      <c r="H396">
        <v>24673</v>
      </c>
      <c r="I396">
        <v>25517</v>
      </c>
      <c r="J396">
        <v>26307</v>
      </c>
      <c r="K396">
        <v>27025</v>
      </c>
      <c r="L396">
        <v>27663</v>
      </c>
      <c r="M396">
        <v>28238</v>
      </c>
      <c r="N396">
        <v>28806</v>
      </c>
      <c r="O396">
        <v>29360</v>
      </c>
      <c r="P396">
        <v>29928</v>
      </c>
      <c r="Q396">
        <v>30475</v>
      </c>
      <c r="R396">
        <v>31031</v>
      </c>
      <c r="S396">
        <v>31579</v>
      </c>
      <c r="T396">
        <v>32141</v>
      </c>
      <c r="U396">
        <v>32709</v>
      </c>
      <c r="V396">
        <v>33279</v>
      </c>
      <c r="W396">
        <v>33822</v>
      </c>
      <c r="X396">
        <v>34370</v>
      </c>
      <c r="Y396">
        <v>34904</v>
      </c>
      <c r="Z396">
        <v>35439</v>
      </c>
      <c r="AA396">
        <v>35959</v>
      </c>
      <c r="AB396">
        <v>36482</v>
      </c>
      <c r="AC396">
        <v>36971</v>
      </c>
      <c r="AD396">
        <v>37458</v>
      </c>
      <c r="AE396">
        <v>37951</v>
      </c>
      <c r="AF396">
        <v>38451</v>
      </c>
    </row>
    <row r="397" spans="1:32" ht="15" customHeight="1" x14ac:dyDescent="0.25">
      <c r="A397" t="s">
        <v>703</v>
      </c>
      <c r="B397">
        <v>835200</v>
      </c>
      <c r="C397">
        <v>993261</v>
      </c>
      <c r="D397">
        <v>1116300</v>
      </c>
      <c r="E397">
        <v>1214323</v>
      </c>
      <c r="F397">
        <v>1288233</v>
      </c>
      <c r="G397">
        <v>1351534</v>
      </c>
      <c r="H397">
        <v>1409821</v>
      </c>
      <c r="I397">
        <v>1464334</v>
      </c>
      <c r="J397">
        <v>1516236</v>
      </c>
      <c r="K397">
        <v>1564141</v>
      </c>
      <c r="L397">
        <v>1607649</v>
      </c>
      <c r="M397">
        <v>1647713</v>
      </c>
      <c r="N397">
        <v>1687325</v>
      </c>
      <c r="O397">
        <v>1726300</v>
      </c>
      <c r="P397">
        <v>1766189</v>
      </c>
      <c r="Q397">
        <v>1804975</v>
      </c>
      <c r="R397">
        <v>1844407</v>
      </c>
      <c r="S397">
        <v>1883396</v>
      </c>
      <c r="T397">
        <v>1923586</v>
      </c>
      <c r="U397">
        <v>1964143</v>
      </c>
      <c r="V397">
        <v>2005199</v>
      </c>
      <c r="W397">
        <v>2044847</v>
      </c>
      <c r="X397">
        <v>2085016</v>
      </c>
      <c r="Y397">
        <v>2124522</v>
      </c>
      <c r="Z397">
        <v>2164697</v>
      </c>
      <c r="AA397">
        <v>2204644</v>
      </c>
      <c r="AB397">
        <v>2244996</v>
      </c>
      <c r="AC397">
        <v>2283832</v>
      </c>
      <c r="AD397">
        <v>2322804</v>
      </c>
      <c r="AE397">
        <v>2362442</v>
      </c>
      <c r="AF397">
        <v>2402758</v>
      </c>
    </row>
    <row r="398" spans="1:32" ht="15" customHeight="1" x14ac:dyDescent="0.25">
      <c r="A398" t="s">
        <v>704</v>
      </c>
      <c r="B398">
        <v>52685</v>
      </c>
      <c r="C398">
        <v>65088</v>
      </c>
      <c r="D398">
        <v>74692</v>
      </c>
      <c r="E398">
        <v>82244</v>
      </c>
      <c r="F398">
        <v>87918</v>
      </c>
      <c r="G398">
        <v>92757</v>
      </c>
      <c r="H398">
        <v>97221</v>
      </c>
      <c r="I398">
        <v>101442</v>
      </c>
      <c r="J398">
        <v>105514</v>
      </c>
      <c r="K398">
        <v>109346</v>
      </c>
      <c r="L398">
        <v>112903</v>
      </c>
      <c r="M398">
        <v>116254</v>
      </c>
      <c r="N398">
        <v>119605</v>
      </c>
      <c r="O398">
        <v>122945</v>
      </c>
      <c r="P398">
        <v>126381</v>
      </c>
      <c r="Q398">
        <v>129769</v>
      </c>
      <c r="R398">
        <v>133233</v>
      </c>
      <c r="S398">
        <v>136697</v>
      </c>
      <c r="T398">
        <v>140276</v>
      </c>
      <c r="U398">
        <v>143919</v>
      </c>
      <c r="V398">
        <v>147622</v>
      </c>
      <c r="W398">
        <v>151258</v>
      </c>
      <c r="X398">
        <v>154955</v>
      </c>
      <c r="Y398">
        <v>158639</v>
      </c>
      <c r="Z398">
        <v>162342</v>
      </c>
      <c r="AA398">
        <v>166037</v>
      </c>
      <c r="AB398">
        <v>169777</v>
      </c>
      <c r="AC398">
        <v>173427</v>
      </c>
      <c r="AD398">
        <v>177110</v>
      </c>
      <c r="AE398">
        <v>180875</v>
      </c>
      <c r="AF398">
        <v>184722</v>
      </c>
    </row>
    <row r="399" spans="1:32" ht="15" customHeight="1" x14ac:dyDescent="0.25">
      <c r="A399" t="s">
        <v>705</v>
      </c>
    </row>
    <row r="400" spans="1:32" ht="15" customHeight="1" x14ac:dyDescent="0.25">
      <c r="A400" t="s">
        <v>706</v>
      </c>
      <c r="B400">
        <v>59236</v>
      </c>
      <c r="C400">
        <v>74204</v>
      </c>
      <c r="D400">
        <v>85367</v>
      </c>
      <c r="E400">
        <v>94048</v>
      </c>
      <c r="F400">
        <v>100439</v>
      </c>
      <c r="G400">
        <v>105829</v>
      </c>
      <c r="H400">
        <v>110688</v>
      </c>
      <c r="I400">
        <v>115289</v>
      </c>
      <c r="J400">
        <v>119659</v>
      </c>
      <c r="K400">
        <v>123761</v>
      </c>
      <c r="L400">
        <v>127488</v>
      </c>
      <c r="M400">
        <v>130985</v>
      </c>
      <c r="N400">
        <v>134434</v>
      </c>
      <c r="O400">
        <v>137873</v>
      </c>
      <c r="P400">
        <v>141359</v>
      </c>
      <c r="Q400">
        <v>144803</v>
      </c>
      <c r="R400">
        <v>148270</v>
      </c>
      <c r="S400">
        <v>151753</v>
      </c>
      <c r="T400">
        <v>155294</v>
      </c>
      <c r="U400">
        <v>158923</v>
      </c>
      <c r="V400">
        <v>162548</v>
      </c>
      <c r="W400">
        <v>166120</v>
      </c>
      <c r="X400">
        <v>169702</v>
      </c>
      <c r="Y400">
        <v>173287</v>
      </c>
      <c r="Z400">
        <v>176726</v>
      </c>
      <c r="AA400">
        <v>180210</v>
      </c>
      <c r="AB400">
        <v>183689</v>
      </c>
      <c r="AC400">
        <v>187099</v>
      </c>
      <c r="AD400">
        <v>190490</v>
      </c>
      <c r="AE400">
        <v>193944</v>
      </c>
      <c r="AF400">
        <v>197461</v>
      </c>
    </row>
    <row r="401" spans="1:32" ht="15" customHeight="1" x14ac:dyDescent="0.25">
      <c r="A401" t="s">
        <v>56</v>
      </c>
      <c r="B401" s="9">
        <v>14764</v>
      </c>
      <c r="C401" s="9">
        <v>17478</v>
      </c>
      <c r="D401" s="9">
        <v>19650</v>
      </c>
      <c r="E401" s="9">
        <v>21431</v>
      </c>
      <c r="F401" s="9">
        <v>22818</v>
      </c>
      <c r="G401" s="9">
        <v>24043</v>
      </c>
      <c r="H401" s="9">
        <v>25191</v>
      </c>
      <c r="I401" s="9">
        <v>26289</v>
      </c>
      <c r="J401" s="9">
        <v>27350</v>
      </c>
      <c r="K401" s="9">
        <v>28349</v>
      </c>
      <c r="L401" s="9">
        <v>29280</v>
      </c>
      <c r="M401" s="9">
        <v>30162</v>
      </c>
      <c r="N401" s="9">
        <v>31043</v>
      </c>
      <c r="O401" s="9">
        <v>31919</v>
      </c>
      <c r="P401" s="9">
        <v>32824</v>
      </c>
      <c r="Q401" s="9">
        <v>33717</v>
      </c>
      <c r="R401" s="9">
        <v>34631</v>
      </c>
      <c r="S401" s="9">
        <v>35545</v>
      </c>
      <c r="T401" s="9">
        <v>36488</v>
      </c>
      <c r="U401" s="9">
        <v>37449</v>
      </c>
      <c r="V401" s="9">
        <v>38429</v>
      </c>
      <c r="W401" s="9">
        <v>39391</v>
      </c>
      <c r="X401" s="9">
        <v>40368</v>
      </c>
      <c r="Y401" s="9">
        <v>41341</v>
      </c>
      <c r="Z401" s="9">
        <v>42279</v>
      </c>
      <c r="AA401" s="9">
        <v>43183</v>
      </c>
      <c r="AB401" s="9">
        <v>44088</v>
      </c>
      <c r="AC401" s="9">
        <v>44962</v>
      </c>
      <c r="AD401" s="9">
        <v>45841</v>
      </c>
      <c r="AE401" s="9">
        <v>46736</v>
      </c>
      <c r="AF401" s="9">
        <v>47648</v>
      </c>
    </row>
    <row r="402" spans="1:32" x14ac:dyDescent="0.25">
      <c r="A402" t="s">
        <v>707</v>
      </c>
      <c r="B402">
        <v>2445640</v>
      </c>
      <c r="C402">
        <v>2896769</v>
      </c>
      <c r="D402">
        <v>3240663</v>
      </c>
      <c r="E402">
        <v>3508642</v>
      </c>
      <c r="F402">
        <v>3704833</v>
      </c>
      <c r="G402">
        <v>3869105</v>
      </c>
      <c r="H402">
        <v>4017957</v>
      </c>
      <c r="I402">
        <v>4155312</v>
      </c>
      <c r="J402">
        <v>4284450</v>
      </c>
      <c r="K402">
        <v>4401770</v>
      </c>
      <c r="L402">
        <v>4506268</v>
      </c>
      <c r="M402">
        <v>4600806</v>
      </c>
      <c r="N402">
        <v>4693768</v>
      </c>
      <c r="O402">
        <v>4784896</v>
      </c>
      <c r="P402">
        <v>4878342</v>
      </c>
      <c r="Q402">
        <v>4968625</v>
      </c>
      <c r="R402">
        <v>5060442</v>
      </c>
      <c r="S402">
        <v>5150991</v>
      </c>
      <c r="T402">
        <v>5244734</v>
      </c>
      <c r="U402">
        <v>5339308</v>
      </c>
      <c r="V402">
        <v>5435165</v>
      </c>
      <c r="W402">
        <v>5527153</v>
      </c>
      <c r="X402">
        <v>5620311</v>
      </c>
      <c r="Y402">
        <v>5711444</v>
      </c>
      <c r="Z402">
        <v>5808952</v>
      </c>
      <c r="AA402">
        <v>5907700</v>
      </c>
      <c r="AB402">
        <v>6008204</v>
      </c>
      <c r="AC402">
        <v>6104642</v>
      </c>
      <c r="AD402">
        <v>6201332</v>
      </c>
      <c r="AE402">
        <v>6299554</v>
      </c>
      <c r="AF402">
        <v>6399331</v>
      </c>
    </row>
    <row r="403" spans="1:32" ht="15" customHeight="1" x14ac:dyDescent="0.25">
      <c r="A403" t="s">
        <v>708</v>
      </c>
    </row>
    <row r="404" spans="1:32" ht="15" customHeight="1" x14ac:dyDescent="0.25">
      <c r="A404" t="s">
        <v>709</v>
      </c>
    </row>
    <row r="405" spans="1:32" ht="15" customHeight="1" x14ac:dyDescent="0.25">
      <c r="A405" t="s">
        <v>710</v>
      </c>
    </row>
    <row r="406" spans="1:32" ht="15" customHeight="1" x14ac:dyDescent="0.25">
      <c r="A406" t="s">
        <v>711</v>
      </c>
      <c r="B406">
        <v>52440</v>
      </c>
      <c r="C406">
        <v>66952</v>
      </c>
      <c r="D406">
        <v>77981</v>
      </c>
      <c r="E406">
        <v>86613</v>
      </c>
      <c r="F406">
        <v>93010</v>
      </c>
      <c r="G406">
        <v>98458</v>
      </c>
      <c r="H406">
        <v>103391</v>
      </c>
      <c r="I406">
        <v>108131</v>
      </c>
      <c r="J406">
        <v>112650</v>
      </c>
      <c r="K406">
        <v>116966</v>
      </c>
      <c r="L406">
        <v>120916</v>
      </c>
      <c r="M406">
        <v>124692</v>
      </c>
      <c r="N406">
        <v>128398</v>
      </c>
      <c r="O406">
        <v>132132</v>
      </c>
      <c r="P406">
        <v>135902</v>
      </c>
      <c r="Q406">
        <v>139677</v>
      </c>
      <c r="R406">
        <v>143451</v>
      </c>
      <c r="S406">
        <v>147279</v>
      </c>
      <c r="T406">
        <v>151143</v>
      </c>
      <c r="U406">
        <v>155135</v>
      </c>
      <c r="V406">
        <v>159109</v>
      </c>
      <c r="W406">
        <v>163064</v>
      </c>
      <c r="X406">
        <v>167019</v>
      </c>
      <c r="Y406">
        <v>171010</v>
      </c>
      <c r="Z406">
        <v>174591</v>
      </c>
      <c r="AA406">
        <v>178269</v>
      </c>
      <c r="AB406">
        <v>181948</v>
      </c>
      <c r="AC406">
        <v>185581</v>
      </c>
      <c r="AD406">
        <v>189172</v>
      </c>
      <c r="AE406">
        <v>192834</v>
      </c>
      <c r="AF406">
        <v>196565</v>
      </c>
    </row>
    <row r="407" spans="1:32" ht="15" customHeight="1" x14ac:dyDescent="0.25">
      <c r="A407" t="s">
        <v>712</v>
      </c>
    </row>
    <row r="408" spans="1:32" ht="15" customHeight="1" x14ac:dyDescent="0.25">
      <c r="A408" t="s">
        <v>1125</v>
      </c>
    </row>
    <row r="409" spans="1:32" ht="15" customHeight="1" x14ac:dyDescent="0.25">
      <c r="A409" t="s">
        <v>713</v>
      </c>
    </row>
    <row r="410" spans="1:32" ht="15" customHeight="1" x14ac:dyDescent="0.25">
      <c r="A410" t="s">
        <v>714</v>
      </c>
    </row>
    <row r="411" spans="1:32" ht="15" customHeight="1" x14ac:dyDescent="0.25">
      <c r="A411" t="s">
        <v>715</v>
      </c>
    </row>
    <row r="412" spans="1:32" ht="15" customHeight="1" x14ac:dyDescent="0.25">
      <c r="A412" t="s">
        <v>716</v>
      </c>
    </row>
    <row r="413" spans="1:32" ht="15" customHeight="1" x14ac:dyDescent="0.25">
      <c r="A413" t="s">
        <v>59</v>
      </c>
    </row>
    <row r="414" spans="1:32" x14ac:dyDescent="0.25">
      <c r="A414" t="s">
        <v>1126</v>
      </c>
    </row>
    <row r="415" spans="1:32" ht="15" customHeight="1" x14ac:dyDescent="0.25">
      <c r="A415" t="s">
        <v>717</v>
      </c>
    </row>
    <row r="416" spans="1:32" ht="15" customHeight="1" x14ac:dyDescent="0.25">
      <c r="A416" t="s">
        <v>718</v>
      </c>
    </row>
    <row r="417" spans="1:32" ht="15" customHeight="1" x14ac:dyDescent="0.25">
      <c r="A417" t="s">
        <v>719</v>
      </c>
    </row>
    <row r="418" spans="1:32" ht="15" customHeight="1" x14ac:dyDescent="0.25">
      <c r="A418" t="s">
        <v>720</v>
      </c>
    </row>
    <row r="419" spans="1:32" ht="15" customHeight="1" x14ac:dyDescent="0.25">
      <c r="A419" t="s">
        <v>721</v>
      </c>
    </row>
    <row r="420" spans="1:32" ht="15" customHeight="1" x14ac:dyDescent="0.25">
      <c r="A420" t="s">
        <v>722</v>
      </c>
    </row>
    <row r="421" spans="1:32" ht="15" customHeight="1" x14ac:dyDescent="0.25">
      <c r="A421" t="s">
        <v>723</v>
      </c>
    </row>
    <row r="422" spans="1:32" ht="15" customHeight="1" x14ac:dyDescent="0.25">
      <c r="A422" t="s">
        <v>724</v>
      </c>
    </row>
    <row r="423" spans="1:32" ht="15" customHeight="1" x14ac:dyDescent="0.25">
      <c r="A423" t="s">
        <v>426</v>
      </c>
    </row>
    <row r="424" spans="1:32" ht="15" customHeight="1" x14ac:dyDescent="0.25">
      <c r="A424" t="s">
        <v>725</v>
      </c>
    </row>
    <row r="425" spans="1:32" ht="15" customHeight="1" x14ac:dyDescent="0.25">
      <c r="A425" t="s">
        <v>726</v>
      </c>
    </row>
    <row r="426" spans="1:32" ht="15" customHeight="1" x14ac:dyDescent="0.25">
      <c r="A426" t="s">
        <v>727</v>
      </c>
      <c r="B426">
        <v>322335</v>
      </c>
      <c r="C426">
        <v>391846</v>
      </c>
      <c r="D426">
        <v>444773</v>
      </c>
      <c r="E426">
        <v>485750</v>
      </c>
      <c r="F426">
        <v>515751</v>
      </c>
      <c r="G426">
        <v>540768</v>
      </c>
      <c r="H426">
        <v>563327</v>
      </c>
      <c r="I426">
        <v>584634</v>
      </c>
      <c r="J426">
        <v>605060</v>
      </c>
      <c r="K426">
        <v>624123</v>
      </c>
      <c r="L426">
        <v>641394</v>
      </c>
      <c r="M426">
        <v>657443</v>
      </c>
      <c r="N426">
        <v>673282</v>
      </c>
      <c r="O426">
        <v>689015</v>
      </c>
      <c r="P426">
        <v>705029</v>
      </c>
      <c r="Q426">
        <v>720684</v>
      </c>
      <c r="R426">
        <v>736573</v>
      </c>
      <c r="S426">
        <v>752443</v>
      </c>
      <c r="T426">
        <v>768704</v>
      </c>
      <c r="U426">
        <v>785151</v>
      </c>
      <c r="V426">
        <v>801773</v>
      </c>
      <c r="W426">
        <v>817979</v>
      </c>
      <c r="X426">
        <v>834340</v>
      </c>
      <c r="Y426">
        <v>850581</v>
      </c>
      <c r="Z426">
        <v>866825</v>
      </c>
      <c r="AA426">
        <v>883125</v>
      </c>
      <c r="AB426">
        <v>899567</v>
      </c>
      <c r="AC426">
        <v>915528</v>
      </c>
      <c r="AD426">
        <v>931415</v>
      </c>
      <c r="AE426">
        <v>947576</v>
      </c>
      <c r="AF426">
        <v>964020</v>
      </c>
    </row>
    <row r="427" spans="1:32" ht="15" customHeight="1" x14ac:dyDescent="0.25">
      <c r="A427" t="s">
        <v>728</v>
      </c>
    </row>
    <row r="428" spans="1:32" ht="15" customHeight="1" x14ac:dyDescent="0.25">
      <c r="A428" t="s">
        <v>1127</v>
      </c>
    </row>
    <row r="429" spans="1:32" ht="15" customHeight="1" x14ac:dyDescent="0.25">
      <c r="A429" t="s">
        <v>1128</v>
      </c>
    </row>
    <row r="430" spans="1:32" ht="15" customHeight="1" x14ac:dyDescent="0.25">
      <c r="A430" t="s">
        <v>1129</v>
      </c>
    </row>
    <row r="431" spans="1:32" ht="15" customHeight="1" x14ac:dyDescent="0.25">
      <c r="A431" t="s">
        <v>729</v>
      </c>
    </row>
    <row r="432" spans="1:32" ht="15" customHeight="1" x14ac:dyDescent="0.25">
      <c r="A432" t="s">
        <v>730</v>
      </c>
    </row>
    <row r="433" spans="1:1" ht="15" customHeight="1" x14ac:dyDescent="0.25">
      <c r="A433" t="s">
        <v>731</v>
      </c>
    </row>
    <row r="434" spans="1:1" ht="15" customHeight="1" x14ac:dyDescent="0.25">
      <c r="A434" t="s">
        <v>732</v>
      </c>
    </row>
    <row r="435" spans="1:1" ht="15" customHeight="1" x14ac:dyDescent="0.25">
      <c r="A435" t="s">
        <v>733</v>
      </c>
    </row>
    <row r="436" spans="1:1" ht="15" customHeight="1" x14ac:dyDescent="0.25">
      <c r="A436" t="s">
        <v>1130</v>
      </c>
    </row>
    <row r="437" spans="1:1" ht="15" customHeight="1" x14ac:dyDescent="0.25">
      <c r="A437" t="s">
        <v>734</v>
      </c>
    </row>
    <row r="438" spans="1:1" ht="15" customHeight="1" x14ac:dyDescent="0.25">
      <c r="A438" t="s">
        <v>1131</v>
      </c>
    </row>
    <row r="439" spans="1:1" ht="15" customHeight="1" x14ac:dyDescent="0.25">
      <c r="A439" t="s">
        <v>735</v>
      </c>
    </row>
    <row r="440" spans="1:1" ht="15" customHeight="1" x14ac:dyDescent="0.25">
      <c r="A440" t="s">
        <v>736</v>
      </c>
    </row>
    <row r="441" spans="1:1" ht="15" customHeight="1" x14ac:dyDescent="0.25">
      <c r="A441" t="s">
        <v>1132</v>
      </c>
    </row>
    <row r="442" spans="1:1" ht="15" customHeight="1" x14ac:dyDescent="0.25">
      <c r="A442" t="s">
        <v>737</v>
      </c>
    </row>
    <row r="443" spans="1:1" ht="15" customHeight="1" x14ac:dyDescent="0.25">
      <c r="A443" t="s">
        <v>738</v>
      </c>
    </row>
    <row r="444" spans="1:1" ht="15" customHeight="1" x14ac:dyDescent="0.25">
      <c r="A444" t="s">
        <v>739</v>
      </c>
    </row>
    <row r="445" spans="1:1" ht="15" customHeight="1" x14ac:dyDescent="0.25">
      <c r="A445" t="s">
        <v>740</v>
      </c>
    </row>
    <row r="446" spans="1:1" ht="15" customHeight="1" x14ac:dyDescent="0.25">
      <c r="A446" t="s">
        <v>741</v>
      </c>
    </row>
    <row r="447" spans="1:1" ht="15" customHeight="1" x14ac:dyDescent="0.25">
      <c r="A447" t="s">
        <v>742</v>
      </c>
    </row>
    <row r="448" spans="1:1" ht="15" customHeight="1" x14ac:dyDescent="0.25">
      <c r="A448" t="s">
        <v>743</v>
      </c>
    </row>
    <row r="449" spans="1:1" ht="15" customHeight="1" x14ac:dyDescent="0.25">
      <c r="A449" t="s">
        <v>744</v>
      </c>
    </row>
    <row r="450" spans="1:1" ht="15" customHeight="1" x14ac:dyDescent="0.25">
      <c r="A450" t="s">
        <v>745</v>
      </c>
    </row>
    <row r="451" spans="1:1" ht="15" customHeight="1" x14ac:dyDescent="0.25">
      <c r="A451" t="s">
        <v>746</v>
      </c>
    </row>
    <row r="452" spans="1:1" ht="15" customHeight="1" x14ac:dyDescent="0.25">
      <c r="A452" t="s">
        <v>747</v>
      </c>
    </row>
    <row r="453" spans="1:1" ht="15" customHeight="1" x14ac:dyDescent="0.25">
      <c r="A453" t="s">
        <v>748</v>
      </c>
    </row>
    <row r="454" spans="1:1" ht="15" customHeight="1" x14ac:dyDescent="0.25">
      <c r="A454" t="s">
        <v>749</v>
      </c>
    </row>
    <row r="455" spans="1:1" ht="15" customHeight="1" x14ac:dyDescent="0.25">
      <c r="A455" t="s">
        <v>750</v>
      </c>
    </row>
    <row r="456" spans="1:1" ht="15" customHeight="1" x14ac:dyDescent="0.25">
      <c r="A456" t="s">
        <v>751</v>
      </c>
    </row>
    <row r="457" spans="1:1" ht="15" customHeight="1" x14ac:dyDescent="0.25">
      <c r="A457" t="s">
        <v>752</v>
      </c>
    </row>
    <row r="458" spans="1:1" ht="15" customHeight="1" x14ac:dyDescent="0.25">
      <c r="A458" t="s">
        <v>753</v>
      </c>
    </row>
    <row r="459" spans="1:1" ht="15" customHeight="1" x14ac:dyDescent="0.25">
      <c r="A459" t="s">
        <v>754</v>
      </c>
    </row>
    <row r="460" spans="1:1" ht="15" customHeight="1" x14ac:dyDescent="0.25">
      <c r="A460" t="s">
        <v>755</v>
      </c>
    </row>
    <row r="461" spans="1:1" ht="15" customHeight="1" x14ac:dyDescent="0.25">
      <c r="A461" t="s">
        <v>756</v>
      </c>
    </row>
    <row r="462" spans="1:1" ht="15" customHeight="1" x14ac:dyDescent="0.25">
      <c r="A462" t="s">
        <v>757</v>
      </c>
    </row>
    <row r="463" spans="1:1" ht="15" customHeight="1" x14ac:dyDescent="0.25">
      <c r="A463" t="s">
        <v>758</v>
      </c>
    </row>
    <row r="464" spans="1:1" ht="15" customHeight="1" x14ac:dyDescent="0.25">
      <c r="A464" t="s">
        <v>759</v>
      </c>
    </row>
    <row r="465" spans="1:32" ht="15" customHeight="1" x14ac:dyDescent="0.25">
      <c r="A465" t="s">
        <v>1133</v>
      </c>
    </row>
    <row r="466" spans="1:32" ht="15" customHeight="1" x14ac:dyDescent="0.25">
      <c r="A466" t="s">
        <v>760</v>
      </c>
    </row>
    <row r="467" spans="1:32" ht="15" customHeight="1" x14ac:dyDescent="0.25">
      <c r="A467" t="s">
        <v>1134</v>
      </c>
    </row>
    <row r="468" spans="1:32" ht="15" customHeight="1" x14ac:dyDescent="0.25">
      <c r="A468" t="s">
        <v>761</v>
      </c>
      <c r="B468">
        <v>46997</v>
      </c>
      <c r="C468">
        <v>59878</v>
      </c>
      <c r="D468">
        <v>68910</v>
      </c>
      <c r="E468">
        <v>75572</v>
      </c>
      <c r="F468">
        <v>80087</v>
      </c>
      <c r="G468">
        <v>83733</v>
      </c>
      <c r="H468">
        <v>86866</v>
      </c>
      <c r="I468">
        <v>89810</v>
      </c>
      <c r="J468">
        <v>92525</v>
      </c>
      <c r="K468">
        <v>95073</v>
      </c>
      <c r="L468">
        <v>97293</v>
      </c>
      <c r="M468">
        <v>99381</v>
      </c>
      <c r="N468">
        <v>101387</v>
      </c>
      <c r="O468">
        <v>103453</v>
      </c>
      <c r="P468">
        <v>105505</v>
      </c>
      <c r="Q468">
        <v>107567</v>
      </c>
      <c r="R468">
        <v>109615</v>
      </c>
      <c r="S468">
        <v>111715</v>
      </c>
      <c r="T468">
        <v>113833</v>
      </c>
      <c r="U468">
        <v>116052</v>
      </c>
      <c r="V468">
        <v>118235</v>
      </c>
      <c r="W468">
        <v>120425</v>
      </c>
      <c r="X468">
        <v>122569</v>
      </c>
      <c r="Y468">
        <v>124745</v>
      </c>
      <c r="Z468">
        <v>126989</v>
      </c>
      <c r="AA468">
        <v>129314</v>
      </c>
      <c r="AB468">
        <v>131571</v>
      </c>
      <c r="AC468">
        <v>133809</v>
      </c>
      <c r="AD468">
        <v>135986</v>
      </c>
      <c r="AE468">
        <v>138198</v>
      </c>
      <c r="AF468">
        <v>140447</v>
      </c>
    </row>
    <row r="469" spans="1:32" ht="15" customHeight="1" x14ac:dyDescent="0.25">
      <c r="A469" t="s">
        <v>762</v>
      </c>
    </row>
    <row r="470" spans="1:32" ht="15" customHeight="1" x14ac:dyDescent="0.25">
      <c r="A470" t="s">
        <v>1135</v>
      </c>
    </row>
    <row r="471" spans="1:32" ht="15" customHeight="1" x14ac:dyDescent="0.25">
      <c r="A471" t="s">
        <v>763</v>
      </c>
    </row>
    <row r="472" spans="1:32" ht="15" customHeight="1" x14ac:dyDescent="0.25">
      <c r="A472" t="s">
        <v>764</v>
      </c>
    </row>
    <row r="473" spans="1:32" ht="15" customHeight="1" x14ac:dyDescent="0.25">
      <c r="A473" t="s">
        <v>765</v>
      </c>
    </row>
    <row r="474" spans="1:32" ht="15" customHeight="1" x14ac:dyDescent="0.25">
      <c r="A474" t="s">
        <v>766</v>
      </c>
    </row>
    <row r="475" spans="1:32" ht="15" customHeight="1" x14ac:dyDescent="0.25">
      <c r="A475" t="s">
        <v>1136</v>
      </c>
    </row>
    <row r="476" spans="1:32" ht="15" customHeight="1" x14ac:dyDescent="0.25">
      <c r="A476" t="s">
        <v>767</v>
      </c>
    </row>
    <row r="477" spans="1:32" ht="15" customHeight="1" x14ac:dyDescent="0.25">
      <c r="A477" t="s">
        <v>1137</v>
      </c>
    </row>
    <row r="478" spans="1:32" ht="15" customHeight="1" x14ac:dyDescent="0.25">
      <c r="A478" t="s">
        <v>768</v>
      </c>
    </row>
    <row r="479" spans="1:32" ht="15" customHeight="1" x14ac:dyDescent="0.25">
      <c r="A479" t="s">
        <v>769</v>
      </c>
    </row>
    <row r="480" spans="1:32" ht="15" customHeight="1" x14ac:dyDescent="0.25">
      <c r="A480" t="s">
        <v>770</v>
      </c>
    </row>
    <row r="481" spans="1:1" ht="15" customHeight="1" x14ac:dyDescent="0.25">
      <c r="A481" t="s">
        <v>771</v>
      </c>
    </row>
    <row r="482" spans="1:1" ht="15" customHeight="1" x14ac:dyDescent="0.25">
      <c r="A482" t="s">
        <v>772</v>
      </c>
    </row>
    <row r="483" spans="1:1" ht="15" customHeight="1" x14ac:dyDescent="0.25">
      <c r="A483" t="s">
        <v>1138</v>
      </c>
    </row>
    <row r="484" spans="1:1" ht="15" customHeight="1" x14ac:dyDescent="0.25">
      <c r="A484" t="s">
        <v>773</v>
      </c>
    </row>
    <row r="485" spans="1:1" ht="15" customHeight="1" x14ac:dyDescent="0.25">
      <c r="A485" t="s">
        <v>1139</v>
      </c>
    </row>
    <row r="486" spans="1:1" ht="15" customHeight="1" x14ac:dyDescent="0.25">
      <c r="A486" t="s">
        <v>774</v>
      </c>
    </row>
    <row r="487" spans="1:1" ht="15" customHeight="1" x14ac:dyDescent="0.25">
      <c r="A487" t="s">
        <v>775</v>
      </c>
    </row>
    <row r="488" spans="1:1" ht="15" customHeight="1" x14ac:dyDescent="0.25">
      <c r="A488" t="s">
        <v>776</v>
      </c>
    </row>
    <row r="489" spans="1:1" ht="15" customHeight="1" x14ac:dyDescent="0.25">
      <c r="A489" t="s">
        <v>1140</v>
      </c>
    </row>
    <row r="490" spans="1:1" ht="15" customHeight="1" x14ac:dyDescent="0.25">
      <c r="A490" t="s">
        <v>777</v>
      </c>
    </row>
    <row r="491" spans="1:1" ht="15" customHeight="1" x14ac:dyDescent="0.25">
      <c r="A491" t="s">
        <v>778</v>
      </c>
    </row>
    <row r="492" spans="1:1" ht="15" customHeight="1" x14ac:dyDescent="0.25">
      <c r="A492" t="s">
        <v>779</v>
      </c>
    </row>
    <row r="493" spans="1:1" ht="15" customHeight="1" x14ac:dyDescent="0.25">
      <c r="A493" t="s">
        <v>1141</v>
      </c>
    </row>
    <row r="494" spans="1:1" ht="15" customHeight="1" x14ac:dyDescent="0.25">
      <c r="A494" t="s">
        <v>781</v>
      </c>
    </row>
    <row r="495" spans="1:1" ht="15" customHeight="1" x14ac:dyDescent="0.25">
      <c r="A495" t="s">
        <v>782</v>
      </c>
    </row>
    <row r="496" spans="1:1" ht="15" customHeight="1" x14ac:dyDescent="0.25">
      <c r="A496" t="s">
        <v>60</v>
      </c>
    </row>
    <row r="497" spans="1:32" x14ac:dyDescent="0.25">
      <c r="A497" t="s">
        <v>783</v>
      </c>
      <c r="B497">
        <v>37224</v>
      </c>
      <c r="C497">
        <v>45122</v>
      </c>
      <c r="D497">
        <v>51391</v>
      </c>
      <c r="E497">
        <v>56461</v>
      </c>
      <c r="F497">
        <v>60432</v>
      </c>
      <c r="G497">
        <v>63946</v>
      </c>
      <c r="H497">
        <v>67253</v>
      </c>
      <c r="I497">
        <v>70404</v>
      </c>
      <c r="J497">
        <v>73481</v>
      </c>
      <c r="K497">
        <v>76392</v>
      </c>
      <c r="L497">
        <v>79126</v>
      </c>
      <c r="M497">
        <v>81706</v>
      </c>
      <c r="N497">
        <v>84301</v>
      </c>
      <c r="O497">
        <v>86913</v>
      </c>
      <c r="P497">
        <v>89583</v>
      </c>
      <c r="Q497">
        <v>92216</v>
      </c>
      <c r="R497">
        <v>94905</v>
      </c>
      <c r="S497">
        <v>97612</v>
      </c>
      <c r="T497">
        <v>100414</v>
      </c>
      <c r="U497">
        <v>103246</v>
      </c>
      <c r="V497">
        <v>106156</v>
      </c>
      <c r="W497">
        <v>108991</v>
      </c>
      <c r="X497">
        <v>111888</v>
      </c>
      <c r="Y497">
        <v>114793</v>
      </c>
      <c r="Z497">
        <v>117502</v>
      </c>
      <c r="AA497">
        <v>120131</v>
      </c>
      <c r="AB497">
        <v>122759</v>
      </c>
      <c r="AC497">
        <v>125291</v>
      </c>
      <c r="AD497">
        <v>127854</v>
      </c>
      <c r="AE497">
        <v>130467</v>
      </c>
      <c r="AF497">
        <v>133134</v>
      </c>
    </row>
    <row r="498" spans="1:32" ht="15" customHeight="1" x14ac:dyDescent="0.25">
      <c r="A498" t="s">
        <v>1142</v>
      </c>
    </row>
    <row r="499" spans="1:32" ht="15" customHeight="1" x14ac:dyDescent="0.25">
      <c r="A499" t="s">
        <v>1143</v>
      </c>
    </row>
    <row r="500" spans="1:32" ht="15" customHeight="1" x14ac:dyDescent="0.25">
      <c r="A500" t="s">
        <v>784</v>
      </c>
    </row>
    <row r="501" spans="1:32" ht="15" customHeight="1" x14ac:dyDescent="0.25">
      <c r="A501" t="s">
        <v>785</v>
      </c>
    </row>
    <row r="502" spans="1:32" ht="15" customHeight="1" x14ac:dyDescent="0.25">
      <c r="A502" t="s">
        <v>786</v>
      </c>
    </row>
    <row r="503" spans="1:32" ht="15" customHeight="1" x14ac:dyDescent="0.25">
      <c r="A503" t="s">
        <v>787</v>
      </c>
    </row>
    <row r="504" spans="1:32" ht="15" customHeight="1" x14ac:dyDescent="0.25">
      <c r="A504" t="s">
        <v>788</v>
      </c>
    </row>
    <row r="505" spans="1:32" ht="15" customHeight="1" x14ac:dyDescent="0.25">
      <c r="A505" t="s">
        <v>1144</v>
      </c>
    </row>
    <row r="506" spans="1:32" ht="15" customHeight="1" x14ac:dyDescent="0.25">
      <c r="A506" t="s">
        <v>1145</v>
      </c>
    </row>
    <row r="507" spans="1:32" ht="15" customHeight="1" x14ac:dyDescent="0.25">
      <c r="A507" t="s">
        <v>789</v>
      </c>
    </row>
    <row r="508" spans="1:32" ht="15" customHeight="1" x14ac:dyDescent="0.25">
      <c r="A508" t="s">
        <v>1146</v>
      </c>
    </row>
    <row r="509" spans="1:32" ht="15" customHeight="1" x14ac:dyDescent="0.25">
      <c r="A509" t="s">
        <v>154</v>
      </c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</row>
    <row r="510" spans="1:32" x14ac:dyDescent="0.25">
      <c r="A510" t="s">
        <v>790</v>
      </c>
    </row>
    <row r="511" spans="1:32" ht="15" customHeight="1" x14ac:dyDescent="0.25">
      <c r="A511" t="s">
        <v>791</v>
      </c>
    </row>
    <row r="512" spans="1:32" ht="15" customHeight="1" x14ac:dyDescent="0.25">
      <c r="A512" t="s">
        <v>792</v>
      </c>
    </row>
    <row r="513" spans="1:32" ht="15" customHeight="1" x14ac:dyDescent="0.25">
      <c r="A513" t="s">
        <v>1147</v>
      </c>
    </row>
    <row r="514" spans="1:32" ht="15" customHeight="1" x14ac:dyDescent="0.25">
      <c r="A514" t="s">
        <v>793</v>
      </c>
    </row>
    <row r="515" spans="1:32" ht="15" customHeight="1" x14ac:dyDescent="0.25">
      <c r="A515" t="s">
        <v>794</v>
      </c>
    </row>
    <row r="516" spans="1:32" ht="15" customHeight="1" x14ac:dyDescent="0.25">
      <c r="A516" t="s">
        <v>795</v>
      </c>
    </row>
    <row r="517" spans="1:32" ht="15" customHeight="1" x14ac:dyDescent="0.25">
      <c r="A517" t="s">
        <v>796</v>
      </c>
    </row>
    <row r="518" spans="1:32" ht="15" customHeight="1" x14ac:dyDescent="0.25">
      <c r="A518" t="s">
        <v>1148</v>
      </c>
    </row>
    <row r="519" spans="1:32" ht="15" customHeight="1" x14ac:dyDescent="0.25">
      <c r="A519" t="s">
        <v>1149</v>
      </c>
    </row>
    <row r="520" spans="1:32" ht="15" customHeight="1" x14ac:dyDescent="0.25">
      <c r="A520" t="s">
        <v>797</v>
      </c>
    </row>
    <row r="521" spans="1:32" ht="15" customHeight="1" x14ac:dyDescent="0.25">
      <c r="A521" t="s">
        <v>1150</v>
      </c>
      <c r="B521">
        <v>15953</v>
      </c>
      <c r="C521">
        <v>20246</v>
      </c>
      <c r="D521">
        <v>23646</v>
      </c>
      <c r="E521">
        <v>26626</v>
      </c>
      <c r="F521">
        <v>28953</v>
      </c>
      <c r="G521">
        <v>31219</v>
      </c>
      <c r="H521">
        <v>33229</v>
      </c>
      <c r="I521">
        <v>35395</v>
      </c>
      <c r="J521">
        <v>37412</v>
      </c>
      <c r="K521">
        <v>39564</v>
      </c>
      <c r="L521">
        <v>41458</v>
      </c>
      <c r="M521">
        <v>43508</v>
      </c>
      <c r="N521">
        <v>45364</v>
      </c>
      <c r="O521">
        <v>47443</v>
      </c>
      <c r="P521">
        <v>49357</v>
      </c>
      <c r="Q521">
        <v>51502</v>
      </c>
      <c r="R521">
        <v>53450</v>
      </c>
      <c r="S521">
        <v>55664</v>
      </c>
      <c r="T521">
        <v>57614</v>
      </c>
      <c r="U521">
        <v>59887</v>
      </c>
      <c r="V521">
        <v>61893</v>
      </c>
      <c r="W521">
        <v>64168</v>
      </c>
      <c r="X521">
        <v>66186</v>
      </c>
      <c r="Y521">
        <v>68552</v>
      </c>
      <c r="Z521">
        <v>70091</v>
      </c>
      <c r="AA521">
        <v>72002</v>
      </c>
      <c r="AB521">
        <v>73820</v>
      </c>
      <c r="AC521">
        <v>75764</v>
      </c>
      <c r="AD521">
        <v>77350</v>
      </c>
      <c r="AE521">
        <v>78970</v>
      </c>
      <c r="AF521">
        <v>80623</v>
      </c>
    </row>
    <row r="522" spans="1:32" ht="15" customHeight="1" x14ac:dyDescent="0.25">
      <c r="A522" t="s">
        <v>1151</v>
      </c>
    </row>
    <row r="523" spans="1:32" ht="15" customHeight="1" x14ac:dyDescent="0.25">
      <c r="A523" t="s">
        <v>798</v>
      </c>
    </row>
    <row r="524" spans="1:32" ht="15" customHeight="1" x14ac:dyDescent="0.25">
      <c r="A524" t="s">
        <v>799</v>
      </c>
    </row>
    <row r="525" spans="1:32" ht="15" customHeight="1" x14ac:dyDescent="0.25">
      <c r="A525" t="s">
        <v>1152</v>
      </c>
    </row>
    <row r="526" spans="1:32" ht="15" customHeight="1" x14ac:dyDescent="0.25">
      <c r="A526" t="s">
        <v>1153</v>
      </c>
    </row>
    <row r="527" spans="1:32" ht="15" customHeight="1" x14ac:dyDescent="0.25">
      <c r="A527" t="s">
        <v>61</v>
      </c>
    </row>
    <row r="528" spans="1:32" x14ac:dyDescent="0.25">
      <c r="A528" t="s">
        <v>800</v>
      </c>
    </row>
    <row r="529" spans="1:32" ht="15" customHeight="1" x14ac:dyDescent="0.25">
      <c r="A529" t="s">
        <v>801</v>
      </c>
      <c r="B529">
        <v>63591</v>
      </c>
      <c r="C529">
        <v>75908</v>
      </c>
      <c r="D529">
        <v>86304</v>
      </c>
      <c r="E529">
        <v>95288</v>
      </c>
      <c r="F529">
        <v>102741</v>
      </c>
      <c r="G529">
        <v>109631</v>
      </c>
      <c r="H529">
        <v>116347</v>
      </c>
      <c r="I529">
        <v>122981</v>
      </c>
      <c r="J529">
        <v>129623</v>
      </c>
      <c r="K529">
        <v>136128</v>
      </c>
      <c r="L529">
        <v>142457</v>
      </c>
      <c r="M529">
        <v>148669</v>
      </c>
      <c r="N529">
        <v>155027</v>
      </c>
      <c r="O529">
        <v>161523</v>
      </c>
      <c r="P529">
        <v>168286</v>
      </c>
      <c r="Q529">
        <v>175154</v>
      </c>
      <c r="R529">
        <v>182282</v>
      </c>
      <c r="S529">
        <v>189586</v>
      </c>
      <c r="T529">
        <v>197221</v>
      </c>
      <c r="U529">
        <v>205110</v>
      </c>
      <c r="V529">
        <v>213279</v>
      </c>
      <c r="W529">
        <v>221543</v>
      </c>
      <c r="X529">
        <v>230102</v>
      </c>
      <c r="Y529">
        <v>238810</v>
      </c>
      <c r="Z529">
        <v>247761</v>
      </c>
      <c r="AA529">
        <v>256885</v>
      </c>
      <c r="AB529">
        <v>266287</v>
      </c>
      <c r="AC529">
        <v>275760</v>
      </c>
      <c r="AD529">
        <v>285500</v>
      </c>
      <c r="AE529">
        <v>295588</v>
      </c>
      <c r="AF529">
        <v>306028</v>
      </c>
    </row>
    <row r="530" spans="1:32" ht="15" customHeight="1" x14ac:dyDescent="0.25">
      <c r="A530" t="s">
        <v>1154</v>
      </c>
    </row>
    <row r="531" spans="1:32" ht="15" customHeight="1" x14ac:dyDescent="0.25">
      <c r="A531" t="s">
        <v>802</v>
      </c>
    </row>
    <row r="532" spans="1:32" ht="15" customHeight="1" x14ac:dyDescent="0.25">
      <c r="A532" t="s">
        <v>62</v>
      </c>
    </row>
    <row r="533" spans="1:32" x14ac:dyDescent="0.25">
      <c r="A533" t="s">
        <v>803</v>
      </c>
    </row>
    <row r="534" spans="1:32" ht="15" customHeight="1" x14ac:dyDescent="0.25">
      <c r="A534" t="s">
        <v>1155</v>
      </c>
    </row>
    <row r="535" spans="1:32" ht="15" customHeight="1" x14ac:dyDescent="0.25">
      <c r="A535" t="s">
        <v>1156</v>
      </c>
    </row>
    <row r="536" spans="1:32" ht="15" customHeight="1" x14ac:dyDescent="0.25">
      <c r="A536" t="s">
        <v>804</v>
      </c>
    </row>
    <row r="537" spans="1:32" ht="15" customHeight="1" x14ac:dyDescent="0.25">
      <c r="A537" t="s">
        <v>805</v>
      </c>
    </row>
    <row r="538" spans="1:32" ht="15" customHeight="1" x14ac:dyDescent="0.25">
      <c r="A538" t="s">
        <v>806</v>
      </c>
    </row>
    <row r="539" spans="1:32" ht="15" customHeight="1" x14ac:dyDescent="0.25">
      <c r="A539" t="s">
        <v>1157</v>
      </c>
      <c r="B539">
        <v>20790</v>
      </c>
      <c r="C539">
        <v>24614</v>
      </c>
      <c r="D539">
        <v>27968</v>
      </c>
      <c r="E539">
        <v>30932</v>
      </c>
      <c r="F539">
        <v>33443</v>
      </c>
      <c r="G539">
        <v>35823</v>
      </c>
      <c r="H539">
        <v>38161</v>
      </c>
      <c r="I539">
        <v>40505</v>
      </c>
      <c r="J539">
        <v>42873</v>
      </c>
      <c r="K539">
        <v>45231</v>
      </c>
      <c r="L539">
        <v>47534</v>
      </c>
      <c r="M539">
        <v>49846</v>
      </c>
      <c r="N539">
        <v>52212</v>
      </c>
      <c r="O539">
        <v>54667</v>
      </c>
      <c r="P539">
        <v>57219</v>
      </c>
      <c r="Q539">
        <v>59857</v>
      </c>
      <c r="R539">
        <v>62580</v>
      </c>
      <c r="S539">
        <v>65414</v>
      </c>
      <c r="T539">
        <v>68414</v>
      </c>
      <c r="U539">
        <v>71506</v>
      </c>
      <c r="V539">
        <v>74739</v>
      </c>
      <c r="W539">
        <v>78031</v>
      </c>
      <c r="X539">
        <v>81480</v>
      </c>
      <c r="Y539">
        <v>85046</v>
      </c>
      <c r="Z539">
        <v>88851</v>
      </c>
      <c r="AA539">
        <v>92843</v>
      </c>
      <c r="AB539">
        <v>96969</v>
      </c>
      <c r="AC539">
        <v>101192</v>
      </c>
      <c r="AD539">
        <v>105612</v>
      </c>
      <c r="AE539">
        <v>110224</v>
      </c>
      <c r="AF539">
        <v>115038</v>
      </c>
    </row>
    <row r="540" spans="1:32" ht="15" customHeight="1" x14ac:dyDescent="0.25">
      <c r="A540" t="s">
        <v>807</v>
      </c>
    </row>
    <row r="541" spans="1:32" ht="15" customHeight="1" x14ac:dyDescent="0.25">
      <c r="A541" t="s">
        <v>1158</v>
      </c>
    </row>
    <row r="542" spans="1:32" ht="15" customHeight="1" x14ac:dyDescent="0.25">
      <c r="A542" t="s">
        <v>808</v>
      </c>
    </row>
    <row r="543" spans="1:32" ht="15" customHeight="1" x14ac:dyDescent="0.25">
      <c r="A543" t="s">
        <v>809</v>
      </c>
    </row>
    <row r="544" spans="1:32" ht="15" customHeight="1" x14ac:dyDescent="0.25">
      <c r="A544" t="s">
        <v>810</v>
      </c>
      <c r="B544">
        <v>39942</v>
      </c>
      <c r="C544">
        <v>48367</v>
      </c>
      <c r="D544">
        <v>54893</v>
      </c>
      <c r="E544">
        <v>60080</v>
      </c>
      <c r="F544">
        <v>64024</v>
      </c>
      <c r="G544">
        <v>67426</v>
      </c>
      <c r="H544">
        <v>70579</v>
      </c>
      <c r="I544">
        <v>73541</v>
      </c>
      <c r="J544">
        <v>76392</v>
      </c>
      <c r="K544">
        <v>79044</v>
      </c>
      <c r="L544">
        <v>81480</v>
      </c>
      <c r="M544">
        <v>83753</v>
      </c>
      <c r="N544">
        <v>86007</v>
      </c>
      <c r="O544">
        <v>88251</v>
      </c>
      <c r="P544">
        <v>90532</v>
      </c>
      <c r="Q544">
        <v>92778</v>
      </c>
      <c r="R544">
        <v>95057</v>
      </c>
      <c r="S544">
        <v>97321</v>
      </c>
      <c r="T544">
        <v>99657</v>
      </c>
      <c r="U544">
        <v>102019</v>
      </c>
      <c r="V544">
        <v>104422</v>
      </c>
      <c r="W544">
        <v>106748</v>
      </c>
      <c r="X544">
        <v>109127</v>
      </c>
      <c r="Y544">
        <v>111461</v>
      </c>
      <c r="Z544">
        <v>113750</v>
      </c>
      <c r="AA544">
        <v>116046</v>
      </c>
      <c r="AB544">
        <v>118378</v>
      </c>
      <c r="AC544">
        <v>120626</v>
      </c>
      <c r="AD544">
        <v>122898</v>
      </c>
      <c r="AE544">
        <v>125211</v>
      </c>
      <c r="AF544">
        <v>127568</v>
      </c>
    </row>
    <row r="545" spans="1:32" ht="15" customHeight="1" x14ac:dyDescent="0.25">
      <c r="A545" t="s">
        <v>331</v>
      </c>
      <c r="B545">
        <v>8275</v>
      </c>
      <c r="C545">
        <v>9874</v>
      </c>
      <c r="D545">
        <v>11100</v>
      </c>
      <c r="E545">
        <v>12075</v>
      </c>
      <c r="F545">
        <v>12805</v>
      </c>
      <c r="G545">
        <v>13433</v>
      </c>
      <c r="H545">
        <v>13988</v>
      </c>
      <c r="I545">
        <v>14560</v>
      </c>
      <c r="J545">
        <v>15154</v>
      </c>
      <c r="K545">
        <v>15724</v>
      </c>
      <c r="L545">
        <v>16281</v>
      </c>
      <c r="M545">
        <v>16802</v>
      </c>
      <c r="N545">
        <v>17349</v>
      </c>
      <c r="O545">
        <v>17890</v>
      </c>
      <c r="P545">
        <v>18451</v>
      </c>
      <c r="Q545">
        <v>19011</v>
      </c>
      <c r="R545">
        <v>19581</v>
      </c>
      <c r="S545">
        <v>20175</v>
      </c>
      <c r="T545">
        <v>20775</v>
      </c>
      <c r="U545">
        <v>21411</v>
      </c>
      <c r="V545">
        <v>22046</v>
      </c>
      <c r="W545">
        <v>22698</v>
      </c>
      <c r="X545">
        <v>23354</v>
      </c>
      <c r="Y545">
        <v>24033</v>
      </c>
      <c r="Z545">
        <v>24713</v>
      </c>
      <c r="AA545">
        <v>25398</v>
      </c>
      <c r="AB545">
        <v>26109</v>
      </c>
      <c r="AC545">
        <v>26810</v>
      </c>
      <c r="AD545">
        <v>27494</v>
      </c>
      <c r="AE545">
        <v>28196</v>
      </c>
      <c r="AF545">
        <v>28917</v>
      </c>
    </row>
    <row r="546" spans="1:32" x14ac:dyDescent="0.25">
      <c r="A546" t="s">
        <v>811</v>
      </c>
    </row>
    <row r="547" spans="1:32" ht="15" customHeight="1" x14ac:dyDescent="0.25">
      <c r="A547" t="s">
        <v>812</v>
      </c>
      <c r="B547">
        <v>68414</v>
      </c>
      <c r="C547">
        <v>82679</v>
      </c>
      <c r="D547">
        <v>93552</v>
      </c>
      <c r="E547">
        <v>102055</v>
      </c>
      <c r="F547">
        <v>108390</v>
      </c>
      <c r="G547">
        <v>113774</v>
      </c>
      <c r="H547">
        <v>118698</v>
      </c>
      <c r="I547">
        <v>123296</v>
      </c>
      <c r="J547">
        <v>127665</v>
      </c>
      <c r="K547">
        <v>131698</v>
      </c>
      <c r="L547">
        <v>135367</v>
      </c>
      <c r="M547">
        <v>138738</v>
      </c>
      <c r="N547">
        <v>142084</v>
      </c>
      <c r="O547">
        <v>145362</v>
      </c>
      <c r="P547">
        <v>148737</v>
      </c>
      <c r="Q547">
        <v>152008</v>
      </c>
      <c r="R547">
        <v>155352</v>
      </c>
      <c r="S547">
        <v>158656</v>
      </c>
      <c r="T547">
        <v>162065</v>
      </c>
      <c r="U547">
        <v>165506</v>
      </c>
      <c r="V547">
        <v>168987</v>
      </c>
      <c r="W547">
        <v>172371</v>
      </c>
      <c r="X547">
        <v>175794</v>
      </c>
      <c r="Y547">
        <v>179164</v>
      </c>
      <c r="Z547">
        <v>182615</v>
      </c>
      <c r="AA547">
        <v>186051</v>
      </c>
      <c r="AB547">
        <v>189534</v>
      </c>
      <c r="AC547">
        <v>192865</v>
      </c>
      <c r="AD547">
        <v>196235</v>
      </c>
      <c r="AE547">
        <v>199665</v>
      </c>
      <c r="AF547">
        <v>203156</v>
      </c>
    </row>
    <row r="548" spans="1:32" ht="15" customHeight="1" x14ac:dyDescent="0.25">
      <c r="A548" t="s">
        <v>1159</v>
      </c>
    </row>
    <row r="549" spans="1:32" ht="15" customHeight="1" x14ac:dyDescent="0.25">
      <c r="A549" t="s">
        <v>1160</v>
      </c>
    </row>
    <row r="550" spans="1:32" ht="15" customHeight="1" x14ac:dyDescent="0.25">
      <c r="A550" t="s">
        <v>332</v>
      </c>
      <c r="B550">
        <v>10926</v>
      </c>
      <c r="C550">
        <v>13750</v>
      </c>
      <c r="D550">
        <v>15976</v>
      </c>
      <c r="E550">
        <v>17925</v>
      </c>
      <c r="F550">
        <v>19430</v>
      </c>
      <c r="G550">
        <v>20887</v>
      </c>
      <c r="H550">
        <v>22195</v>
      </c>
      <c r="I550">
        <v>23600</v>
      </c>
      <c r="J550">
        <v>24913</v>
      </c>
      <c r="K550">
        <v>26325</v>
      </c>
      <c r="L550">
        <v>27584</v>
      </c>
      <c r="M550">
        <v>28924</v>
      </c>
      <c r="N550">
        <v>30162</v>
      </c>
      <c r="O550">
        <v>31545</v>
      </c>
      <c r="P550">
        <v>32822</v>
      </c>
      <c r="Q550">
        <v>34250</v>
      </c>
      <c r="R550">
        <v>35571</v>
      </c>
      <c r="S550">
        <v>37040</v>
      </c>
      <c r="T550">
        <v>38375</v>
      </c>
      <c r="U550">
        <v>39906</v>
      </c>
      <c r="V550">
        <v>41275</v>
      </c>
      <c r="W550">
        <v>42829</v>
      </c>
      <c r="X550">
        <v>44229</v>
      </c>
      <c r="Y550">
        <v>45838</v>
      </c>
      <c r="Z550">
        <v>46969</v>
      </c>
      <c r="AA550">
        <v>48297</v>
      </c>
      <c r="AB550">
        <v>49471</v>
      </c>
      <c r="AC550">
        <v>50834</v>
      </c>
      <c r="AD550">
        <v>52007</v>
      </c>
      <c r="AE550">
        <v>53207</v>
      </c>
      <c r="AF550">
        <v>54435</v>
      </c>
    </row>
    <row r="551" spans="1:32" x14ac:dyDescent="0.25">
      <c r="A551" t="s">
        <v>813</v>
      </c>
    </row>
    <row r="552" spans="1:32" ht="15" customHeight="1" x14ac:dyDescent="0.25">
      <c r="A552" t="s">
        <v>1161</v>
      </c>
    </row>
    <row r="553" spans="1:32" ht="15" customHeight="1" x14ac:dyDescent="0.25">
      <c r="A553" t="s">
        <v>814</v>
      </c>
    </row>
    <row r="554" spans="1:32" ht="15" customHeight="1" x14ac:dyDescent="0.25">
      <c r="A554" t="s">
        <v>1162</v>
      </c>
    </row>
    <row r="555" spans="1:32" ht="15" customHeight="1" x14ac:dyDescent="0.25">
      <c r="A555" t="s">
        <v>815</v>
      </c>
    </row>
    <row r="556" spans="1:32" ht="15" customHeight="1" x14ac:dyDescent="0.25">
      <c r="A556" t="s">
        <v>816</v>
      </c>
    </row>
    <row r="557" spans="1:32" ht="15" customHeight="1" x14ac:dyDescent="0.25">
      <c r="A557" t="s">
        <v>817</v>
      </c>
    </row>
    <row r="558" spans="1:32" ht="15" customHeight="1" x14ac:dyDescent="0.25">
      <c r="A558" t="s">
        <v>333</v>
      </c>
      <c r="B558">
        <v>5696</v>
      </c>
      <c r="C558">
        <v>6832</v>
      </c>
      <c r="D558">
        <v>7693</v>
      </c>
      <c r="E558">
        <v>8379</v>
      </c>
      <c r="F558">
        <v>8884</v>
      </c>
      <c r="G558">
        <v>9314</v>
      </c>
      <c r="H558">
        <v>9705</v>
      </c>
      <c r="I558">
        <v>10090</v>
      </c>
      <c r="J558">
        <v>10487</v>
      </c>
      <c r="K558">
        <v>10875</v>
      </c>
      <c r="L558">
        <v>11238</v>
      </c>
      <c r="M558">
        <v>11588</v>
      </c>
      <c r="N558">
        <v>11942</v>
      </c>
      <c r="O558">
        <v>12296</v>
      </c>
      <c r="P558">
        <v>12665</v>
      </c>
      <c r="Q558">
        <v>13031</v>
      </c>
      <c r="R558">
        <v>13409</v>
      </c>
      <c r="S558">
        <v>13789</v>
      </c>
      <c r="T558">
        <v>14185</v>
      </c>
      <c r="U558">
        <v>14592</v>
      </c>
      <c r="V558">
        <v>15010</v>
      </c>
      <c r="W558">
        <v>15423</v>
      </c>
      <c r="X558">
        <v>15853</v>
      </c>
      <c r="Y558">
        <v>16283</v>
      </c>
      <c r="Z558">
        <v>16724</v>
      </c>
      <c r="AA558">
        <v>17166</v>
      </c>
      <c r="AB558">
        <v>17626</v>
      </c>
      <c r="AC558">
        <v>18076</v>
      </c>
      <c r="AD558">
        <v>18515</v>
      </c>
      <c r="AE558">
        <v>18966</v>
      </c>
      <c r="AF558">
        <v>19429</v>
      </c>
    </row>
    <row r="559" spans="1:32" x14ac:dyDescent="0.25">
      <c r="A559" t="s">
        <v>1163</v>
      </c>
    </row>
    <row r="560" spans="1:32" ht="15" customHeight="1" x14ac:dyDescent="0.25">
      <c r="A560" t="s">
        <v>818</v>
      </c>
    </row>
    <row r="561" spans="1:32" ht="15" customHeight="1" x14ac:dyDescent="0.25">
      <c r="A561" t="s">
        <v>819</v>
      </c>
    </row>
    <row r="562" spans="1:32" ht="15" customHeight="1" x14ac:dyDescent="0.25">
      <c r="A562" t="s">
        <v>820</v>
      </c>
    </row>
    <row r="563" spans="1:32" ht="15" customHeight="1" x14ac:dyDescent="0.25">
      <c r="A563" t="s">
        <v>821</v>
      </c>
    </row>
    <row r="564" spans="1:32" ht="15" customHeight="1" x14ac:dyDescent="0.25">
      <c r="A564" t="s">
        <v>1164</v>
      </c>
    </row>
    <row r="565" spans="1:32" ht="15" customHeight="1" x14ac:dyDescent="0.25">
      <c r="A565" t="s">
        <v>63</v>
      </c>
      <c r="B565" s="9">
        <v>479</v>
      </c>
      <c r="C565" s="9">
        <v>570</v>
      </c>
      <c r="D565" s="9">
        <v>641</v>
      </c>
      <c r="E565" s="9">
        <v>699</v>
      </c>
      <c r="F565" s="9">
        <v>746</v>
      </c>
      <c r="G565" s="9">
        <v>784</v>
      </c>
      <c r="H565" s="9">
        <v>820</v>
      </c>
      <c r="I565" s="9">
        <v>857</v>
      </c>
      <c r="J565" s="9">
        <v>892</v>
      </c>
      <c r="K565" s="9">
        <v>923</v>
      </c>
      <c r="L565" s="9">
        <v>954</v>
      </c>
      <c r="M565" s="9">
        <v>983</v>
      </c>
      <c r="N565" s="9">
        <v>1011</v>
      </c>
      <c r="O565" s="9">
        <v>1039</v>
      </c>
      <c r="P565" s="9">
        <v>1067</v>
      </c>
      <c r="Q565" s="9">
        <v>1096</v>
      </c>
      <c r="R565" s="9">
        <v>1126</v>
      </c>
      <c r="S565" s="9">
        <v>1156</v>
      </c>
      <c r="T565" s="9">
        <v>1187</v>
      </c>
      <c r="U565" s="9">
        <v>1218</v>
      </c>
      <c r="V565" s="9">
        <v>1250</v>
      </c>
      <c r="W565" s="9">
        <v>1281</v>
      </c>
      <c r="X565" s="9">
        <v>1313</v>
      </c>
      <c r="Y565" s="9">
        <v>1346</v>
      </c>
      <c r="Z565" s="9">
        <v>1379</v>
      </c>
      <c r="AA565" s="9">
        <v>1410</v>
      </c>
      <c r="AB565" s="9">
        <v>1444</v>
      </c>
      <c r="AC565" s="9">
        <v>1475</v>
      </c>
      <c r="AD565" s="9">
        <v>1510</v>
      </c>
      <c r="AE565" s="9">
        <v>1545</v>
      </c>
      <c r="AF565" s="9">
        <v>1582</v>
      </c>
    </row>
    <row r="566" spans="1:32" x14ac:dyDescent="0.25">
      <c r="A566" t="s">
        <v>157</v>
      </c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</row>
    <row r="567" spans="1:32" x14ac:dyDescent="0.25">
      <c r="A567" t="s">
        <v>1165</v>
      </c>
    </row>
    <row r="568" spans="1:32" ht="15" customHeight="1" x14ac:dyDescent="0.25">
      <c r="A568" t="s">
        <v>822</v>
      </c>
    </row>
    <row r="569" spans="1:32" ht="15" customHeight="1" x14ac:dyDescent="0.25">
      <c r="A569" t="s">
        <v>823</v>
      </c>
    </row>
    <row r="570" spans="1:32" ht="15" customHeight="1" x14ac:dyDescent="0.25">
      <c r="A570" t="s">
        <v>67</v>
      </c>
      <c r="B570" s="9">
        <v>3347</v>
      </c>
      <c r="C570" s="9">
        <v>4022</v>
      </c>
      <c r="D570" s="9">
        <v>4548</v>
      </c>
      <c r="E570" s="9">
        <v>4964</v>
      </c>
      <c r="F570" s="9">
        <v>5277</v>
      </c>
      <c r="G570" s="9">
        <v>5543</v>
      </c>
      <c r="H570" s="9">
        <v>5788</v>
      </c>
      <c r="I570" s="9">
        <v>6023</v>
      </c>
      <c r="J570" s="9">
        <v>6248</v>
      </c>
      <c r="K570" s="9">
        <v>6462</v>
      </c>
      <c r="L570" s="9">
        <v>6664</v>
      </c>
      <c r="M570" s="9">
        <v>6845</v>
      </c>
      <c r="N570" s="9">
        <v>7026</v>
      </c>
      <c r="O570" s="9">
        <v>7208</v>
      </c>
      <c r="P570" s="9">
        <v>7394</v>
      </c>
      <c r="Q570" s="9">
        <v>7575</v>
      </c>
      <c r="R570" s="9">
        <v>7758</v>
      </c>
      <c r="S570" s="9">
        <v>7944</v>
      </c>
      <c r="T570" s="9">
        <v>8132</v>
      </c>
      <c r="U570" s="9">
        <v>8314</v>
      </c>
      <c r="V570" s="9">
        <v>8504</v>
      </c>
      <c r="W570" s="9">
        <v>8690</v>
      </c>
      <c r="X570" s="9">
        <v>8877</v>
      </c>
      <c r="Y570" s="9">
        <v>9064</v>
      </c>
      <c r="Z570" s="9">
        <v>9249</v>
      </c>
      <c r="AA570" s="9">
        <v>9430</v>
      </c>
      <c r="AB570" s="9">
        <v>9615</v>
      </c>
      <c r="AC570" s="9">
        <v>9792</v>
      </c>
      <c r="AD570" s="9">
        <v>9968</v>
      </c>
      <c r="AE570" s="9">
        <v>10149</v>
      </c>
      <c r="AF570" s="9">
        <v>10332</v>
      </c>
    </row>
    <row r="571" spans="1:32" x14ac:dyDescent="0.25">
      <c r="A571" t="s">
        <v>1166</v>
      </c>
      <c r="B571">
        <v>14623</v>
      </c>
      <c r="C571">
        <v>17306</v>
      </c>
      <c r="D571">
        <v>19656</v>
      </c>
      <c r="E571">
        <v>21746</v>
      </c>
      <c r="F571">
        <v>23530</v>
      </c>
      <c r="G571">
        <v>25202</v>
      </c>
      <c r="H571">
        <v>26865</v>
      </c>
      <c r="I571">
        <v>28521</v>
      </c>
      <c r="J571">
        <v>30204</v>
      </c>
      <c r="K571">
        <v>31877</v>
      </c>
      <c r="L571">
        <v>33520</v>
      </c>
      <c r="M571">
        <v>35161</v>
      </c>
      <c r="N571">
        <v>36855</v>
      </c>
      <c r="O571">
        <v>38601</v>
      </c>
      <c r="P571">
        <v>40427</v>
      </c>
      <c r="Q571">
        <v>42306</v>
      </c>
      <c r="R571">
        <v>44275</v>
      </c>
      <c r="S571">
        <v>46297</v>
      </c>
      <c r="T571">
        <v>48440</v>
      </c>
      <c r="U571">
        <v>50667</v>
      </c>
      <c r="V571">
        <v>52982</v>
      </c>
      <c r="W571">
        <v>55358</v>
      </c>
      <c r="X571">
        <v>57830</v>
      </c>
      <c r="Y571">
        <v>60382</v>
      </c>
      <c r="Z571">
        <v>63153</v>
      </c>
      <c r="AA571">
        <v>66030</v>
      </c>
      <c r="AB571">
        <v>69034</v>
      </c>
      <c r="AC571">
        <v>72095</v>
      </c>
      <c r="AD571">
        <v>75285</v>
      </c>
      <c r="AE571">
        <v>78618</v>
      </c>
      <c r="AF571">
        <v>82095</v>
      </c>
    </row>
    <row r="572" spans="1:32" ht="15" customHeight="1" x14ac:dyDescent="0.25">
      <c r="A572" t="s">
        <v>824</v>
      </c>
    </row>
    <row r="573" spans="1:32" ht="15" customHeight="1" x14ac:dyDescent="0.25">
      <c r="A573" t="s">
        <v>825</v>
      </c>
    </row>
    <row r="574" spans="1:32" ht="15" customHeight="1" x14ac:dyDescent="0.25">
      <c r="A574" t="s">
        <v>826</v>
      </c>
    </row>
    <row r="575" spans="1:32" ht="15" customHeight="1" x14ac:dyDescent="0.25">
      <c r="A575" t="s">
        <v>827</v>
      </c>
      <c r="B575">
        <v>73203</v>
      </c>
      <c r="C575">
        <v>89031</v>
      </c>
      <c r="D575">
        <v>101214</v>
      </c>
      <c r="E575">
        <v>110788</v>
      </c>
      <c r="F575">
        <v>118001</v>
      </c>
      <c r="G575">
        <v>124183</v>
      </c>
      <c r="H575">
        <v>129820</v>
      </c>
      <c r="I575">
        <v>135215</v>
      </c>
      <c r="J575">
        <v>140461</v>
      </c>
      <c r="K575">
        <v>145404</v>
      </c>
      <c r="L575">
        <v>149978</v>
      </c>
      <c r="M575">
        <v>154212</v>
      </c>
      <c r="N575">
        <v>158430</v>
      </c>
      <c r="O575">
        <v>162623</v>
      </c>
      <c r="P575">
        <v>166947</v>
      </c>
      <c r="Q575">
        <v>171111</v>
      </c>
      <c r="R575">
        <v>175419</v>
      </c>
      <c r="S575">
        <v>179692</v>
      </c>
      <c r="T575">
        <v>184083</v>
      </c>
      <c r="U575">
        <v>188564</v>
      </c>
      <c r="V575">
        <v>193016</v>
      </c>
      <c r="W575">
        <v>197418</v>
      </c>
      <c r="X575">
        <v>201865</v>
      </c>
      <c r="Y575">
        <v>206287</v>
      </c>
      <c r="Z575">
        <v>210640</v>
      </c>
      <c r="AA575">
        <v>214895</v>
      </c>
      <c r="AB575">
        <v>219233</v>
      </c>
      <c r="AC575">
        <v>223405</v>
      </c>
      <c r="AD575">
        <v>227568</v>
      </c>
      <c r="AE575">
        <v>231809</v>
      </c>
      <c r="AF575">
        <v>236129</v>
      </c>
    </row>
    <row r="576" spans="1:32" ht="15" customHeight="1" x14ac:dyDescent="0.25">
      <c r="A576" t="s">
        <v>1167</v>
      </c>
    </row>
    <row r="577" spans="1:1" ht="15" customHeight="1" x14ac:dyDescent="0.25">
      <c r="A577" t="s">
        <v>828</v>
      </c>
    </row>
    <row r="578" spans="1:1" ht="15" customHeight="1" x14ac:dyDescent="0.25">
      <c r="A578" t="s">
        <v>829</v>
      </c>
    </row>
    <row r="579" spans="1:1" ht="15" customHeight="1" x14ac:dyDescent="0.25">
      <c r="A579" t="s">
        <v>830</v>
      </c>
    </row>
    <row r="580" spans="1:1" ht="15" customHeight="1" x14ac:dyDescent="0.25">
      <c r="A580" t="s">
        <v>831</v>
      </c>
    </row>
    <row r="581" spans="1:1" ht="15" customHeight="1" x14ac:dyDescent="0.25">
      <c r="A581" t="s">
        <v>832</v>
      </c>
    </row>
    <row r="582" spans="1:1" ht="15" customHeight="1" x14ac:dyDescent="0.25">
      <c r="A582" t="s">
        <v>833</v>
      </c>
    </row>
    <row r="583" spans="1:1" ht="15" customHeight="1" x14ac:dyDescent="0.25">
      <c r="A583" t="s">
        <v>834</v>
      </c>
    </row>
    <row r="584" spans="1:1" ht="15" customHeight="1" x14ac:dyDescent="0.25">
      <c r="A584" t="s">
        <v>1168</v>
      </c>
    </row>
    <row r="585" spans="1:1" ht="15" customHeight="1" x14ac:dyDescent="0.25">
      <c r="A585" t="s">
        <v>1169</v>
      </c>
    </row>
    <row r="586" spans="1:1" ht="15" customHeight="1" x14ac:dyDescent="0.25">
      <c r="A586" t="s">
        <v>835</v>
      </c>
    </row>
    <row r="587" spans="1:1" ht="15" customHeight="1" x14ac:dyDescent="0.25">
      <c r="A587" t="s">
        <v>836</v>
      </c>
    </row>
    <row r="588" spans="1:1" ht="15" customHeight="1" x14ac:dyDescent="0.25">
      <c r="A588" t="s">
        <v>1170</v>
      </c>
    </row>
    <row r="589" spans="1:1" ht="15" customHeight="1" x14ac:dyDescent="0.25">
      <c r="A589" t="s">
        <v>837</v>
      </c>
    </row>
    <row r="590" spans="1:1" ht="15" customHeight="1" x14ac:dyDescent="0.25">
      <c r="A590" t="s">
        <v>838</v>
      </c>
    </row>
    <row r="591" spans="1:1" ht="15" customHeight="1" x14ac:dyDescent="0.25">
      <c r="A591" t="s">
        <v>839</v>
      </c>
    </row>
    <row r="592" spans="1:1" ht="15" customHeight="1" x14ac:dyDescent="0.25">
      <c r="A592" t="s">
        <v>1171</v>
      </c>
    </row>
    <row r="593" spans="1:32" ht="15" customHeight="1" x14ac:dyDescent="0.25">
      <c r="A593" t="s">
        <v>840</v>
      </c>
    </row>
    <row r="594" spans="1:32" ht="15" customHeight="1" x14ac:dyDescent="0.25">
      <c r="A594" t="s">
        <v>841</v>
      </c>
    </row>
    <row r="595" spans="1:32" ht="15" customHeight="1" x14ac:dyDescent="0.25">
      <c r="A595" t="s">
        <v>842</v>
      </c>
    </row>
    <row r="596" spans="1:32" ht="15" customHeight="1" x14ac:dyDescent="0.25">
      <c r="A596" t="s">
        <v>1172</v>
      </c>
    </row>
    <row r="597" spans="1:32" ht="15" customHeight="1" x14ac:dyDescent="0.25">
      <c r="A597" t="s">
        <v>843</v>
      </c>
    </row>
    <row r="598" spans="1:32" ht="15" customHeight="1" x14ac:dyDescent="0.25">
      <c r="A598" t="s">
        <v>1173</v>
      </c>
    </row>
    <row r="599" spans="1:32" ht="15" customHeight="1" x14ac:dyDescent="0.25">
      <c r="A599" t="s">
        <v>844</v>
      </c>
    </row>
    <row r="600" spans="1:32" ht="15" customHeight="1" x14ac:dyDescent="0.25">
      <c r="A600" t="s">
        <v>845</v>
      </c>
    </row>
    <row r="601" spans="1:32" ht="15" customHeight="1" x14ac:dyDescent="0.25">
      <c r="A601" t="s">
        <v>846</v>
      </c>
    </row>
    <row r="602" spans="1:32" ht="15" customHeight="1" x14ac:dyDescent="0.25">
      <c r="A602" t="s">
        <v>847</v>
      </c>
    </row>
    <row r="603" spans="1:32" ht="15" customHeight="1" x14ac:dyDescent="0.25">
      <c r="A603" t="s">
        <v>848</v>
      </c>
      <c r="B603">
        <v>67118</v>
      </c>
      <c r="C603">
        <v>79685</v>
      </c>
      <c r="D603">
        <v>88993</v>
      </c>
      <c r="E603">
        <v>96041</v>
      </c>
      <c r="F603">
        <v>100883</v>
      </c>
      <c r="G603">
        <v>104887</v>
      </c>
      <c r="H603">
        <v>108500</v>
      </c>
      <c r="I603">
        <v>111719</v>
      </c>
      <c r="J603">
        <v>114777</v>
      </c>
      <c r="K603">
        <v>117427</v>
      </c>
      <c r="L603">
        <v>119817</v>
      </c>
      <c r="M603">
        <v>121989</v>
      </c>
      <c r="N603">
        <v>124088</v>
      </c>
      <c r="O603">
        <v>126144</v>
      </c>
      <c r="P603">
        <v>128254</v>
      </c>
      <c r="Q603">
        <v>130348</v>
      </c>
      <c r="R603">
        <v>132380</v>
      </c>
      <c r="S603">
        <v>134558</v>
      </c>
      <c r="T603">
        <v>136722</v>
      </c>
      <c r="U603">
        <v>138973</v>
      </c>
      <c r="V603">
        <v>141230</v>
      </c>
      <c r="W603">
        <v>143388</v>
      </c>
      <c r="X603">
        <v>145654</v>
      </c>
      <c r="Y603">
        <v>147753</v>
      </c>
      <c r="Z603">
        <v>150130</v>
      </c>
      <c r="AA603">
        <v>152540</v>
      </c>
      <c r="AB603">
        <v>154936</v>
      </c>
      <c r="AC603">
        <v>157277</v>
      </c>
      <c r="AD603">
        <v>159488</v>
      </c>
      <c r="AE603">
        <v>161729</v>
      </c>
      <c r="AF603">
        <v>164003</v>
      </c>
    </row>
    <row r="604" spans="1:32" ht="15" customHeight="1" x14ac:dyDescent="0.25">
      <c r="A604" t="s">
        <v>849</v>
      </c>
    </row>
    <row r="605" spans="1:32" ht="15" customHeight="1" x14ac:dyDescent="0.25">
      <c r="A605" t="s">
        <v>850</v>
      </c>
    </row>
    <row r="606" spans="1:32" ht="15" customHeight="1" x14ac:dyDescent="0.25">
      <c r="A606" t="s">
        <v>851</v>
      </c>
      <c r="B606">
        <v>8588</v>
      </c>
      <c r="C606">
        <v>10169</v>
      </c>
      <c r="D606">
        <v>11553</v>
      </c>
      <c r="E606">
        <v>12786</v>
      </c>
      <c r="F606">
        <v>13835</v>
      </c>
      <c r="G606">
        <v>14820</v>
      </c>
      <c r="H606">
        <v>15799</v>
      </c>
      <c r="I606">
        <v>16773</v>
      </c>
      <c r="J606">
        <v>17763</v>
      </c>
      <c r="K606">
        <v>18747</v>
      </c>
      <c r="L606">
        <v>19713</v>
      </c>
      <c r="M606">
        <v>20678</v>
      </c>
      <c r="N606">
        <v>21674</v>
      </c>
      <c r="O606">
        <v>22702</v>
      </c>
      <c r="P606">
        <v>23777</v>
      </c>
      <c r="Q606">
        <v>24881</v>
      </c>
      <c r="R606">
        <v>26040</v>
      </c>
      <c r="S606">
        <v>27229</v>
      </c>
      <c r="T606">
        <v>28490</v>
      </c>
      <c r="U606">
        <v>29800</v>
      </c>
      <c r="V606">
        <v>31161</v>
      </c>
      <c r="W606">
        <v>32557</v>
      </c>
      <c r="X606">
        <v>34013</v>
      </c>
      <c r="Y606">
        <v>35513</v>
      </c>
      <c r="Z606">
        <v>37145</v>
      </c>
      <c r="AA606">
        <v>38838</v>
      </c>
      <c r="AB606">
        <v>40606</v>
      </c>
      <c r="AC606">
        <v>42407</v>
      </c>
      <c r="AD606">
        <v>44282</v>
      </c>
      <c r="AE606">
        <v>46240</v>
      </c>
      <c r="AF606">
        <v>48285</v>
      </c>
    </row>
    <row r="607" spans="1:32" ht="15" customHeight="1" x14ac:dyDescent="0.25">
      <c r="A607" t="s">
        <v>1174</v>
      </c>
    </row>
    <row r="608" spans="1:32" ht="15" customHeight="1" x14ac:dyDescent="0.25">
      <c r="A608" t="s">
        <v>852</v>
      </c>
    </row>
    <row r="609" spans="1:32" ht="15" customHeight="1" x14ac:dyDescent="0.25">
      <c r="A609" t="s">
        <v>1175</v>
      </c>
    </row>
    <row r="610" spans="1:32" ht="15" customHeight="1" x14ac:dyDescent="0.25">
      <c r="A610" t="s">
        <v>853</v>
      </c>
    </row>
    <row r="611" spans="1:32" ht="15" customHeight="1" x14ac:dyDescent="0.25">
      <c r="A611" t="s">
        <v>1176</v>
      </c>
    </row>
    <row r="612" spans="1:32" ht="15" customHeight="1" x14ac:dyDescent="0.25">
      <c r="A612" t="s">
        <v>854</v>
      </c>
    </row>
    <row r="613" spans="1:32" ht="15" customHeight="1" x14ac:dyDescent="0.25">
      <c r="A613" t="s">
        <v>855</v>
      </c>
    </row>
    <row r="614" spans="1:32" ht="15" customHeight="1" x14ac:dyDescent="0.25">
      <c r="A614" t="s">
        <v>856</v>
      </c>
    </row>
    <row r="615" spans="1:32" ht="15" customHeight="1" x14ac:dyDescent="0.25">
      <c r="A615" t="s">
        <v>857</v>
      </c>
    </row>
    <row r="616" spans="1:32" ht="15" customHeight="1" x14ac:dyDescent="0.25">
      <c r="A616" t="s">
        <v>1177</v>
      </c>
    </row>
    <row r="617" spans="1:32" ht="15" customHeight="1" x14ac:dyDescent="0.25">
      <c r="A617" t="s">
        <v>858</v>
      </c>
    </row>
    <row r="618" spans="1:32" ht="15" customHeight="1" x14ac:dyDescent="0.25">
      <c r="A618" t="s">
        <v>859</v>
      </c>
    </row>
    <row r="619" spans="1:32" ht="15" customHeight="1" x14ac:dyDescent="0.25">
      <c r="A619" t="s">
        <v>860</v>
      </c>
    </row>
    <row r="620" spans="1:32" ht="15" customHeight="1" x14ac:dyDescent="0.25">
      <c r="A620" t="s">
        <v>1178</v>
      </c>
    </row>
    <row r="621" spans="1:32" ht="15" customHeight="1" x14ac:dyDescent="0.25">
      <c r="A621" t="s">
        <v>861</v>
      </c>
    </row>
    <row r="622" spans="1:32" ht="15" customHeight="1" x14ac:dyDescent="0.25">
      <c r="A622" t="s">
        <v>1260</v>
      </c>
      <c r="B622">
        <v>223133</v>
      </c>
      <c r="C622">
        <v>272602</v>
      </c>
      <c r="D622">
        <v>309637</v>
      </c>
      <c r="E622">
        <v>337953</v>
      </c>
      <c r="F622">
        <v>358609</v>
      </c>
      <c r="G622">
        <v>375886</v>
      </c>
      <c r="H622">
        <v>391510</v>
      </c>
      <c r="I622">
        <v>406119</v>
      </c>
      <c r="J622">
        <v>420074</v>
      </c>
      <c r="K622">
        <v>432881</v>
      </c>
      <c r="L622">
        <v>444630</v>
      </c>
      <c r="M622">
        <v>455326</v>
      </c>
      <c r="N622">
        <v>465912</v>
      </c>
      <c r="O622">
        <v>476340</v>
      </c>
      <c r="P622">
        <v>487055</v>
      </c>
      <c r="Q622">
        <v>497436</v>
      </c>
      <c r="R622">
        <v>507921</v>
      </c>
      <c r="S622">
        <v>518329</v>
      </c>
      <c r="T622">
        <v>529075</v>
      </c>
      <c r="U622">
        <v>539894</v>
      </c>
      <c r="V622">
        <v>550858</v>
      </c>
      <c r="W622">
        <v>561449</v>
      </c>
      <c r="X622">
        <v>572112</v>
      </c>
      <c r="Y622">
        <v>582582</v>
      </c>
      <c r="Z622">
        <v>593387</v>
      </c>
      <c r="AA622">
        <v>603911</v>
      </c>
      <c r="AB622">
        <v>614423</v>
      </c>
      <c r="AC622">
        <v>624450</v>
      </c>
      <c r="AD622">
        <v>634526</v>
      </c>
      <c r="AE622">
        <v>644763</v>
      </c>
      <c r="AF622">
        <v>655169</v>
      </c>
    </row>
    <row r="623" spans="1:32" ht="15" customHeight="1" x14ac:dyDescent="0.25">
      <c r="A623" t="s">
        <v>1179</v>
      </c>
    </row>
    <row r="624" spans="1:32" ht="15" customHeight="1" x14ac:dyDescent="0.25">
      <c r="A624" t="s">
        <v>862</v>
      </c>
    </row>
    <row r="625" spans="1:32" ht="15" customHeight="1" x14ac:dyDescent="0.25">
      <c r="A625" t="s">
        <v>863</v>
      </c>
    </row>
    <row r="626" spans="1:32" ht="15" customHeight="1" x14ac:dyDescent="0.25">
      <c r="A626" t="s">
        <v>864</v>
      </c>
      <c r="B626">
        <v>30325</v>
      </c>
      <c r="C626">
        <v>37750</v>
      </c>
      <c r="D626">
        <v>43165</v>
      </c>
      <c r="E626">
        <v>47291</v>
      </c>
      <c r="F626">
        <v>50259</v>
      </c>
      <c r="G626">
        <v>52689</v>
      </c>
      <c r="H626">
        <v>54852</v>
      </c>
      <c r="I626">
        <v>56867</v>
      </c>
      <c r="J626">
        <v>58754</v>
      </c>
      <c r="K626">
        <v>60504</v>
      </c>
      <c r="L626">
        <v>62059</v>
      </c>
      <c r="M626">
        <v>63499</v>
      </c>
      <c r="N626">
        <v>64911</v>
      </c>
      <c r="O626">
        <v>66314</v>
      </c>
      <c r="P626">
        <v>67738</v>
      </c>
      <c r="Q626">
        <v>69140</v>
      </c>
      <c r="R626">
        <v>70558</v>
      </c>
      <c r="S626">
        <v>71969</v>
      </c>
      <c r="T626">
        <v>73413</v>
      </c>
      <c r="U626">
        <v>74885</v>
      </c>
      <c r="V626">
        <v>76371</v>
      </c>
      <c r="W626">
        <v>77817</v>
      </c>
      <c r="X626">
        <v>79279</v>
      </c>
      <c r="Y626">
        <v>80712</v>
      </c>
      <c r="Z626">
        <v>82211</v>
      </c>
      <c r="AA626">
        <v>83712</v>
      </c>
      <c r="AB626">
        <v>85224</v>
      </c>
      <c r="AC626">
        <v>86680</v>
      </c>
      <c r="AD626">
        <v>88135</v>
      </c>
      <c r="AE626">
        <v>89615</v>
      </c>
      <c r="AF626">
        <v>91120</v>
      </c>
    </row>
    <row r="627" spans="1:32" ht="15" customHeight="1" x14ac:dyDescent="0.25">
      <c r="A627" t="s">
        <v>865</v>
      </c>
    </row>
    <row r="628" spans="1:32" ht="15" customHeight="1" x14ac:dyDescent="0.25">
      <c r="A628" t="s">
        <v>866</v>
      </c>
    </row>
    <row r="629" spans="1:32" ht="15" customHeight="1" x14ac:dyDescent="0.25">
      <c r="A629" t="s">
        <v>1180</v>
      </c>
    </row>
    <row r="630" spans="1:32" ht="15" customHeight="1" x14ac:dyDescent="0.25">
      <c r="A630" t="s">
        <v>867</v>
      </c>
    </row>
    <row r="631" spans="1:32" ht="15" customHeight="1" x14ac:dyDescent="0.25">
      <c r="A631" t="s">
        <v>868</v>
      </c>
      <c r="B631">
        <v>14556</v>
      </c>
      <c r="C631">
        <v>17207</v>
      </c>
      <c r="D631">
        <v>19305</v>
      </c>
      <c r="E631">
        <v>20953</v>
      </c>
      <c r="F631">
        <v>22230</v>
      </c>
      <c r="G631">
        <v>23312</v>
      </c>
      <c r="H631">
        <v>24310</v>
      </c>
      <c r="I631">
        <v>25263</v>
      </c>
      <c r="J631">
        <v>26278</v>
      </c>
      <c r="K631">
        <v>27180</v>
      </c>
      <c r="L631">
        <v>28068</v>
      </c>
      <c r="M631">
        <v>28861</v>
      </c>
      <c r="N631">
        <v>29661</v>
      </c>
      <c r="O631">
        <v>30458</v>
      </c>
      <c r="P631">
        <v>31274</v>
      </c>
      <c r="Q631">
        <v>32071</v>
      </c>
      <c r="R631">
        <v>32878</v>
      </c>
      <c r="S631">
        <v>33722</v>
      </c>
      <c r="T631">
        <v>34551</v>
      </c>
      <c r="U631">
        <v>35386</v>
      </c>
      <c r="V631">
        <v>36266</v>
      </c>
      <c r="W631">
        <v>37085</v>
      </c>
      <c r="X631">
        <v>37951</v>
      </c>
      <c r="Y631">
        <v>38762</v>
      </c>
      <c r="Z631">
        <v>39578</v>
      </c>
      <c r="AA631">
        <v>40382</v>
      </c>
      <c r="AB631">
        <v>41183</v>
      </c>
      <c r="AC631">
        <v>42026</v>
      </c>
      <c r="AD631">
        <v>42782</v>
      </c>
      <c r="AE631">
        <v>43551</v>
      </c>
      <c r="AF631">
        <v>44333</v>
      </c>
    </row>
    <row r="632" spans="1:32" ht="15" customHeight="1" x14ac:dyDescent="0.25">
      <c r="A632" t="s">
        <v>1181</v>
      </c>
    </row>
    <row r="633" spans="1:32" ht="15" customHeight="1" x14ac:dyDescent="0.25">
      <c r="A633" t="s">
        <v>1182</v>
      </c>
    </row>
    <row r="634" spans="1:32" ht="15" customHeight="1" x14ac:dyDescent="0.25">
      <c r="A634" t="s">
        <v>869</v>
      </c>
    </row>
    <row r="635" spans="1:32" ht="15" customHeight="1" x14ac:dyDescent="0.25">
      <c r="A635" t="s">
        <v>1183</v>
      </c>
    </row>
    <row r="636" spans="1:32" ht="15" customHeight="1" x14ac:dyDescent="0.25">
      <c r="A636" t="s">
        <v>870</v>
      </c>
    </row>
    <row r="637" spans="1:32" ht="15" customHeight="1" x14ac:dyDescent="0.25">
      <c r="A637" t="s">
        <v>871</v>
      </c>
    </row>
    <row r="638" spans="1:32" ht="15" customHeight="1" x14ac:dyDescent="0.25">
      <c r="A638" t="s">
        <v>872</v>
      </c>
    </row>
    <row r="639" spans="1:32" ht="15" customHeight="1" x14ac:dyDescent="0.25">
      <c r="A639" t="s">
        <v>1184</v>
      </c>
    </row>
    <row r="640" spans="1:32" ht="15" customHeight="1" x14ac:dyDescent="0.25">
      <c r="A640" t="s">
        <v>873</v>
      </c>
    </row>
    <row r="641" spans="1:32" ht="15" customHeight="1" x14ac:dyDescent="0.25">
      <c r="A641" t="s">
        <v>874</v>
      </c>
    </row>
    <row r="642" spans="1:32" ht="15" customHeight="1" x14ac:dyDescent="0.25">
      <c r="A642" t="s">
        <v>875</v>
      </c>
    </row>
    <row r="643" spans="1:32" ht="15" customHeight="1" x14ac:dyDescent="0.25">
      <c r="A643" t="s">
        <v>876</v>
      </c>
    </row>
    <row r="644" spans="1:32" ht="15" customHeight="1" x14ac:dyDescent="0.25">
      <c r="A644" t="s">
        <v>877</v>
      </c>
    </row>
    <row r="645" spans="1:32" ht="15" customHeight="1" x14ac:dyDescent="0.25">
      <c r="A645" t="s">
        <v>878</v>
      </c>
    </row>
    <row r="646" spans="1:32" ht="15" customHeight="1" x14ac:dyDescent="0.25">
      <c r="A646" t="s">
        <v>879</v>
      </c>
    </row>
    <row r="647" spans="1:32" ht="15" customHeight="1" x14ac:dyDescent="0.25">
      <c r="A647" t="s">
        <v>880</v>
      </c>
    </row>
    <row r="648" spans="1:32" ht="15" customHeight="1" x14ac:dyDescent="0.25">
      <c r="A648" t="s">
        <v>1185</v>
      </c>
    </row>
    <row r="649" spans="1:32" ht="15" customHeight="1" x14ac:dyDescent="0.25">
      <c r="A649" t="s">
        <v>881</v>
      </c>
    </row>
    <row r="650" spans="1:32" ht="15" customHeight="1" x14ac:dyDescent="0.25">
      <c r="A650" t="s">
        <v>882</v>
      </c>
    </row>
    <row r="651" spans="1:32" ht="15" customHeight="1" x14ac:dyDescent="0.25">
      <c r="A651" t="s">
        <v>883</v>
      </c>
    </row>
    <row r="652" spans="1:32" ht="15" customHeight="1" x14ac:dyDescent="0.25">
      <c r="A652" t="s">
        <v>1186</v>
      </c>
    </row>
    <row r="653" spans="1:32" ht="15" customHeight="1" x14ac:dyDescent="0.25">
      <c r="A653" t="s">
        <v>884</v>
      </c>
      <c r="B653">
        <v>21886</v>
      </c>
      <c r="C653">
        <v>26500</v>
      </c>
      <c r="D653">
        <v>30037</v>
      </c>
      <c r="E653">
        <v>32822</v>
      </c>
      <c r="F653">
        <v>34905</v>
      </c>
      <c r="G653">
        <v>36677</v>
      </c>
      <c r="H653">
        <v>38309</v>
      </c>
      <c r="I653">
        <v>39862</v>
      </c>
      <c r="J653">
        <v>41395</v>
      </c>
      <c r="K653">
        <v>42848</v>
      </c>
      <c r="L653">
        <v>44188</v>
      </c>
      <c r="M653">
        <v>45432</v>
      </c>
      <c r="N653">
        <v>46672</v>
      </c>
      <c r="O653">
        <v>47906</v>
      </c>
      <c r="P653">
        <v>49170</v>
      </c>
      <c r="Q653">
        <v>50413</v>
      </c>
      <c r="R653">
        <v>51674</v>
      </c>
      <c r="S653">
        <v>52921</v>
      </c>
      <c r="T653">
        <v>54209</v>
      </c>
      <c r="U653">
        <v>55365</v>
      </c>
      <c r="V653">
        <v>56613</v>
      </c>
      <c r="W653">
        <v>57854</v>
      </c>
      <c r="X653">
        <v>59129</v>
      </c>
      <c r="Y653">
        <v>60391</v>
      </c>
      <c r="Z653">
        <v>61641</v>
      </c>
      <c r="AA653">
        <v>62870</v>
      </c>
      <c r="AB653">
        <v>64112</v>
      </c>
      <c r="AC653">
        <v>65308</v>
      </c>
      <c r="AD653">
        <v>66504</v>
      </c>
      <c r="AE653">
        <v>67722</v>
      </c>
      <c r="AF653">
        <v>68962</v>
      </c>
    </row>
    <row r="654" spans="1:32" ht="15" customHeight="1" x14ac:dyDescent="0.25">
      <c r="A654" t="s">
        <v>885</v>
      </c>
    </row>
    <row r="655" spans="1:32" ht="15" customHeight="1" x14ac:dyDescent="0.25">
      <c r="A655" t="s">
        <v>886</v>
      </c>
    </row>
    <row r="656" spans="1:32" ht="15" customHeight="1" x14ac:dyDescent="0.25">
      <c r="A656" t="s">
        <v>887</v>
      </c>
    </row>
    <row r="657" spans="1:32" ht="15" customHeight="1" x14ac:dyDescent="0.25">
      <c r="A657" t="s">
        <v>1187</v>
      </c>
    </row>
    <row r="658" spans="1:32" ht="15" customHeight="1" x14ac:dyDescent="0.25">
      <c r="A658" t="s">
        <v>888</v>
      </c>
    </row>
    <row r="659" spans="1:32" ht="15" customHeight="1" x14ac:dyDescent="0.25">
      <c r="A659" t="s">
        <v>889</v>
      </c>
    </row>
    <row r="660" spans="1:32" ht="15" customHeight="1" x14ac:dyDescent="0.25">
      <c r="A660" t="s">
        <v>128</v>
      </c>
      <c r="B660" s="9">
        <v>31549</v>
      </c>
      <c r="C660" s="9">
        <v>39679</v>
      </c>
      <c r="D660" s="9">
        <v>46003</v>
      </c>
      <c r="E660" s="9">
        <v>51477</v>
      </c>
      <c r="F660" s="9">
        <v>55506</v>
      </c>
      <c r="G660" s="9">
        <v>59472</v>
      </c>
      <c r="H660" s="9">
        <v>62848</v>
      </c>
      <c r="I660" s="9">
        <v>66556</v>
      </c>
      <c r="J660" s="9">
        <v>69823</v>
      </c>
      <c r="K660" s="9">
        <v>73489</v>
      </c>
      <c r="L660" s="9">
        <v>76501</v>
      </c>
      <c r="M660" s="9">
        <v>79702</v>
      </c>
      <c r="N660" s="9">
        <v>82654</v>
      </c>
      <c r="O660" s="9">
        <v>85902</v>
      </c>
      <c r="P660" s="9">
        <v>88880</v>
      </c>
      <c r="Q660" s="9">
        <v>92215</v>
      </c>
      <c r="R660" s="9">
        <v>95200</v>
      </c>
      <c r="S660" s="9">
        <v>98551</v>
      </c>
      <c r="T660" s="9">
        <v>101522</v>
      </c>
      <c r="U660" s="9">
        <v>104935</v>
      </c>
      <c r="V660" s="9">
        <v>107865</v>
      </c>
      <c r="W660" s="9">
        <v>111260</v>
      </c>
      <c r="X660" s="9">
        <v>114172</v>
      </c>
      <c r="Y660" s="9">
        <v>117670</v>
      </c>
      <c r="Z660" s="9">
        <v>120013</v>
      </c>
      <c r="AA660" s="9">
        <v>122957</v>
      </c>
      <c r="AB660" s="9">
        <v>131684</v>
      </c>
      <c r="AC660" s="9">
        <v>134880</v>
      </c>
      <c r="AD660" s="9">
        <v>137268</v>
      </c>
      <c r="AE660" s="9">
        <v>139697</v>
      </c>
      <c r="AF660" s="9">
        <v>142171</v>
      </c>
    </row>
    <row r="661" spans="1:32" x14ac:dyDescent="0.25">
      <c r="A661" t="s">
        <v>890</v>
      </c>
      <c r="B661">
        <v>17079</v>
      </c>
      <c r="C661">
        <v>20117</v>
      </c>
      <c r="D661">
        <v>22560</v>
      </c>
      <c r="E661">
        <v>24625</v>
      </c>
      <c r="F661">
        <v>26143</v>
      </c>
      <c r="G661">
        <v>27551</v>
      </c>
      <c r="H661">
        <v>28863</v>
      </c>
      <c r="I661">
        <v>30085</v>
      </c>
      <c r="J661">
        <v>31222</v>
      </c>
      <c r="K661">
        <v>32387</v>
      </c>
      <c r="L661">
        <v>33375</v>
      </c>
      <c r="M661">
        <v>34330</v>
      </c>
      <c r="N661">
        <v>35298</v>
      </c>
      <c r="O661">
        <v>36176</v>
      </c>
      <c r="P661">
        <v>37161</v>
      </c>
      <c r="Q661">
        <v>38127</v>
      </c>
      <c r="R661">
        <v>39020</v>
      </c>
      <c r="S661">
        <v>40086</v>
      </c>
      <c r="T661">
        <v>41007</v>
      </c>
      <c r="U661">
        <v>41931</v>
      </c>
      <c r="V661">
        <v>43045</v>
      </c>
      <c r="W661">
        <v>43956</v>
      </c>
      <c r="X661">
        <v>44969</v>
      </c>
      <c r="Y661">
        <v>45963</v>
      </c>
      <c r="Z661">
        <v>46872</v>
      </c>
      <c r="AA661">
        <v>47864</v>
      </c>
      <c r="AB661">
        <v>48851</v>
      </c>
      <c r="AC661">
        <v>49798</v>
      </c>
      <c r="AD661">
        <v>50735</v>
      </c>
      <c r="AE661">
        <v>51691</v>
      </c>
      <c r="AF661">
        <v>52666</v>
      </c>
    </row>
    <row r="662" spans="1:32" ht="15" customHeight="1" x14ac:dyDescent="0.25">
      <c r="A662" t="s">
        <v>1188</v>
      </c>
    </row>
    <row r="663" spans="1:32" ht="15" customHeight="1" x14ac:dyDescent="0.25">
      <c r="A663" t="s">
        <v>1189</v>
      </c>
    </row>
    <row r="664" spans="1:32" ht="15" customHeight="1" x14ac:dyDescent="0.25">
      <c r="A664" t="s">
        <v>1190</v>
      </c>
    </row>
    <row r="665" spans="1:32" ht="15" customHeight="1" x14ac:dyDescent="0.25">
      <c r="A665" t="s">
        <v>891</v>
      </c>
      <c r="B665">
        <v>27096</v>
      </c>
      <c r="C665">
        <v>34096</v>
      </c>
      <c r="D665">
        <v>39231</v>
      </c>
      <c r="E665">
        <v>43052</v>
      </c>
      <c r="F665">
        <v>45781</v>
      </c>
      <c r="G665">
        <v>48011</v>
      </c>
      <c r="H665">
        <v>50020</v>
      </c>
      <c r="I665">
        <v>51862</v>
      </c>
      <c r="J665">
        <v>53605</v>
      </c>
      <c r="K665">
        <v>55201</v>
      </c>
      <c r="L665">
        <v>56630</v>
      </c>
      <c r="M665">
        <v>57937</v>
      </c>
      <c r="N665">
        <v>59225</v>
      </c>
      <c r="O665">
        <v>60497</v>
      </c>
      <c r="P665">
        <v>61789</v>
      </c>
      <c r="Q665">
        <v>63039</v>
      </c>
      <c r="R665">
        <v>64310</v>
      </c>
      <c r="S665">
        <v>65563</v>
      </c>
      <c r="T665">
        <v>66844</v>
      </c>
      <c r="U665">
        <v>68142</v>
      </c>
      <c r="V665">
        <v>69440</v>
      </c>
      <c r="W665">
        <v>70681</v>
      </c>
      <c r="X665">
        <v>71938</v>
      </c>
      <c r="Y665">
        <v>73166</v>
      </c>
      <c r="Z665">
        <v>74358</v>
      </c>
      <c r="AA665">
        <v>75514</v>
      </c>
      <c r="AB665">
        <v>76661</v>
      </c>
      <c r="AC665">
        <v>77744</v>
      </c>
      <c r="AD665">
        <v>78822</v>
      </c>
      <c r="AE665">
        <v>79915</v>
      </c>
      <c r="AF665">
        <v>81024</v>
      </c>
    </row>
    <row r="666" spans="1:32" ht="15" customHeight="1" x14ac:dyDescent="0.25">
      <c r="A666" t="s">
        <v>892</v>
      </c>
      <c r="B666">
        <v>23690</v>
      </c>
      <c r="C666">
        <v>28014</v>
      </c>
      <c r="D666">
        <v>31741</v>
      </c>
      <c r="E666">
        <v>34995</v>
      </c>
      <c r="F666">
        <v>37708</v>
      </c>
      <c r="G666">
        <v>40217</v>
      </c>
      <c r="H666">
        <v>42657</v>
      </c>
      <c r="I666">
        <v>45057</v>
      </c>
      <c r="J666">
        <v>47463</v>
      </c>
      <c r="K666">
        <v>49805</v>
      </c>
      <c r="L666">
        <v>52082</v>
      </c>
      <c r="M666">
        <v>54307</v>
      </c>
      <c r="N666">
        <v>56576</v>
      </c>
      <c r="O666">
        <v>58879</v>
      </c>
      <c r="P666">
        <v>61286</v>
      </c>
      <c r="Q666">
        <v>63719</v>
      </c>
      <c r="R666">
        <v>66233</v>
      </c>
      <c r="S666">
        <v>68802</v>
      </c>
      <c r="T666">
        <v>71480</v>
      </c>
      <c r="U666">
        <v>74246</v>
      </c>
      <c r="V666">
        <v>77104</v>
      </c>
      <c r="W666">
        <v>79984</v>
      </c>
      <c r="X666">
        <v>82959</v>
      </c>
      <c r="Y666">
        <v>85980</v>
      </c>
      <c r="Z666">
        <v>89074</v>
      </c>
      <c r="AA666">
        <v>92256</v>
      </c>
      <c r="AB666">
        <v>95533</v>
      </c>
      <c r="AC666">
        <v>98838</v>
      </c>
      <c r="AD666">
        <v>102230</v>
      </c>
      <c r="AE666">
        <v>105736</v>
      </c>
      <c r="AF666">
        <v>109366</v>
      </c>
    </row>
    <row r="667" spans="1:32" ht="15" customHeight="1" x14ac:dyDescent="0.25">
      <c r="A667" t="s">
        <v>1191</v>
      </c>
    </row>
    <row r="668" spans="1:32" ht="15" customHeight="1" x14ac:dyDescent="0.25">
      <c r="A668" t="s">
        <v>893</v>
      </c>
    </row>
    <row r="669" spans="1:32" ht="15" customHeight="1" x14ac:dyDescent="0.25">
      <c r="A669" t="s">
        <v>894</v>
      </c>
    </row>
    <row r="670" spans="1:32" ht="15" customHeight="1" x14ac:dyDescent="0.25">
      <c r="A670" t="s">
        <v>895</v>
      </c>
    </row>
    <row r="671" spans="1:32" ht="15" customHeight="1" x14ac:dyDescent="0.25">
      <c r="A671" t="s">
        <v>896</v>
      </c>
      <c r="B671">
        <v>64478</v>
      </c>
      <c r="C671">
        <v>77701</v>
      </c>
      <c r="D671">
        <v>88004</v>
      </c>
      <c r="E671">
        <v>96136</v>
      </c>
      <c r="F671">
        <v>102245</v>
      </c>
      <c r="G671">
        <v>107489</v>
      </c>
      <c r="H671">
        <v>112262</v>
      </c>
      <c r="I671">
        <v>116881</v>
      </c>
      <c r="J671">
        <v>121279</v>
      </c>
      <c r="K671">
        <v>125454</v>
      </c>
      <c r="L671">
        <v>129421</v>
      </c>
      <c r="M671">
        <v>132937</v>
      </c>
      <c r="N671">
        <v>136490</v>
      </c>
      <c r="O671">
        <v>140019</v>
      </c>
      <c r="P671">
        <v>143684</v>
      </c>
      <c r="Q671">
        <v>147210</v>
      </c>
      <c r="R671">
        <v>150781</v>
      </c>
      <c r="S671">
        <v>154448</v>
      </c>
      <c r="T671">
        <v>158115</v>
      </c>
      <c r="U671">
        <v>161648</v>
      </c>
      <c r="V671">
        <v>165359</v>
      </c>
      <c r="W671">
        <v>168972</v>
      </c>
      <c r="X671">
        <v>172621</v>
      </c>
      <c r="Y671">
        <v>176299</v>
      </c>
      <c r="Z671">
        <v>179890</v>
      </c>
      <c r="AA671">
        <v>183368</v>
      </c>
      <c r="AB671">
        <v>186996</v>
      </c>
      <c r="AC671">
        <v>190452</v>
      </c>
      <c r="AD671">
        <v>193867</v>
      </c>
      <c r="AE671">
        <v>197344</v>
      </c>
      <c r="AF671">
        <v>200885</v>
      </c>
    </row>
    <row r="672" spans="1:32" ht="15" customHeight="1" x14ac:dyDescent="0.25">
      <c r="A672" t="s">
        <v>897</v>
      </c>
    </row>
    <row r="673" spans="1:32" ht="15" customHeight="1" x14ac:dyDescent="0.25">
      <c r="A673" t="s">
        <v>1192</v>
      </c>
    </row>
    <row r="674" spans="1:32" ht="15" customHeight="1" x14ac:dyDescent="0.25">
      <c r="A674" t="s">
        <v>898</v>
      </c>
    </row>
    <row r="675" spans="1:32" ht="15" customHeight="1" x14ac:dyDescent="0.25">
      <c r="A675" t="s">
        <v>1193</v>
      </c>
    </row>
    <row r="676" spans="1:32" ht="15" customHeight="1" x14ac:dyDescent="0.25">
      <c r="A676" t="s">
        <v>899</v>
      </c>
    </row>
    <row r="677" spans="1:32" ht="15" customHeight="1" x14ac:dyDescent="0.25">
      <c r="A677" t="s">
        <v>900</v>
      </c>
    </row>
    <row r="678" spans="1:32" ht="15" customHeight="1" x14ac:dyDescent="0.25">
      <c r="A678" t="s">
        <v>1194</v>
      </c>
    </row>
    <row r="679" spans="1:32" ht="15" customHeight="1" x14ac:dyDescent="0.25">
      <c r="A679" t="s">
        <v>901</v>
      </c>
    </row>
    <row r="680" spans="1:32" ht="15" customHeight="1" x14ac:dyDescent="0.25">
      <c r="A680" t="s">
        <v>902</v>
      </c>
    </row>
    <row r="681" spans="1:32" ht="15" customHeight="1" x14ac:dyDescent="0.25">
      <c r="A681" t="s">
        <v>903</v>
      </c>
    </row>
    <row r="682" spans="1:32" ht="15" customHeight="1" x14ac:dyDescent="0.25">
      <c r="A682" t="s">
        <v>904</v>
      </c>
    </row>
    <row r="683" spans="1:32" ht="15" customHeight="1" x14ac:dyDescent="0.25">
      <c r="A683" t="s">
        <v>1195</v>
      </c>
    </row>
    <row r="684" spans="1:32" ht="15" customHeight="1" x14ac:dyDescent="0.25">
      <c r="A684" t="s">
        <v>905</v>
      </c>
    </row>
    <row r="685" spans="1:32" ht="15" customHeight="1" x14ac:dyDescent="0.25">
      <c r="A685" t="s">
        <v>1196</v>
      </c>
    </row>
    <row r="686" spans="1:32" ht="15" customHeight="1" x14ac:dyDescent="0.25">
      <c r="A686" t="s">
        <v>1197</v>
      </c>
    </row>
    <row r="687" spans="1:32" ht="15" customHeight="1" x14ac:dyDescent="0.25">
      <c r="A687" t="s">
        <v>906</v>
      </c>
    </row>
    <row r="688" spans="1:32" ht="15" customHeight="1" x14ac:dyDescent="0.25">
      <c r="A688" t="s">
        <v>334</v>
      </c>
      <c r="B688">
        <v>15105</v>
      </c>
      <c r="C688">
        <v>18258</v>
      </c>
      <c r="D688">
        <v>20712</v>
      </c>
      <c r="E688">
        <v>22668</v>
      </c>
      <c r="F688">
        <v>24156</v>
      </c>
      <c r="G688">
        <v>25463</v>
      </c>
      <c r="H688">
        <v>26647</v>
      </c>
      <c r="I688">
        <v>27803</v>
      </c>
      <c r="J688">
        <v>28901</v>
      </c>
      <c r="K688">
        <v>29949</v>
      </c>
      <c r="L688">
        <v>30901</v>
      </c>
      <c r="M688">
        <v>31839</v>
      </c>
      <c r="N688">
        <v>32722</v>
      </c>
      <c r="O688">
        <v>33644</v>
      </c>
      <c r="P688">
        <v>34529</v>
      </c>
      <c r="Q688">
        <v>35453</v>
      </c>
      <c r="R688">
        <v>36367</v>
      </c>
      <c r="S688">
        <v>37301</v>
      </c>
      <c r="T688">
        <v>38227</v>
      </c>
      <c r="U688">
        <v>39195</v>
      </c>
      <c r="V688">
        <v>40145</v>
      </c>
      <c r="W688">
        <v>41113</v>
      </c>
      <c r="X688">
        <v>42059</v>
      </c>
      <c r="Y688">
        <v>43026</v>
      </c>
      <c r="Z688">
        <v>43870</v>
      </c>
      <c r="AA688">
        <v>44787</v>
      </c>
      <c r="AB688">
        <v>45654</v>
      </c>
      <c r="AC688">
        <v>46556</v>
      </c>
      <c r="AD688">
        <v>47400</v>
      </c>
      <c r="AE688">
        <v>48259</v>
      </c>
      <c r="AF688">
        <v>49134</v>
      </c>
    </row>
    <row r="689" spans="1:32" x14ac:dyDescent="0.25">
      <c r="A689" t="s">
        <v>607</v>
      </c>
    </row>
    <row r="690" spans="1:32" ht="15" customHeight="1" x14ac:dyDescent="0.25">
      <c r="A690" t="s">
        <v>907</v>
      </c>
    </row>
    <row r="691" spans="1:32" ht="15" customHeight="1" x14ac:dyDescent="0.25">
      <c r="A691" t="s">
        <v>908</v>
      </c>
    </row>
    <row r="692" spans="1:32" ht="15" customHeight="1" x14ac:dyDescent="0.25">
      <c r="A692" t="s">
        <v>1198</v>
      </c>
      <c r="B692">
        <v>14960</v>
      </c>
      <c r="C692">
        <v>18081</v>
      </c>
      <c r="D692">
        <v>20549</v>
      </c>
      <c r="E692">
        <v>22545</v>
      </c>
      <c r="F692">
        <v>24126</v>
      </c>
      <c r="G692">
        <v>25523</v>
      </c>
      <c r="H692">
        <v>26844</v>
      </c>
      <c r="I692">
        <v>28113</v>
      </c>
      <c r="J692">
        <v>29346</v>
      </c>
      <c r="K692">
        <v>30526</v>
      </c>
      <c r="L692">
        <v>31635</v>
      </c>
      <c r="M692">
        <v>32688</v>
      </c>
      <c r="N692">
        <v>33752</v>
      </c>
      <c r="O692">
        <v>34836</v>
      </c>
      <c r="P692">
        <v>35955</v>
      </c>
      <c r="Q692">
        <v>37041</v>
      </c>
      <c r="R692">
        <v>38175</v>
      </c>
      <c r="S692">
        <v>39336</v>
      </c>
      <c r="T692">
        <v>40508</v>
      </c>
      <c r="U692">
        <v>41727</v>
      </c>
      <c r="V692">
        <v>42965</v>
      </c>
      <c r="W692">
        <v>44182</v>
      </c>
      <c r="X692">
        <v>45444</v>
      </c>
      <c r="Y692">
        <v>46725</v>
      </c>
      <c r="Z692">
        <v>47988</v>
      </c>
      <c r="AA692">
        <v>49281</v>
      </c>
      <c r="AB692">
        <v>50599</v>
      </c>
      <c r="AC692">
        <v>51910</v>
      </c>
      <c r="AD692">
        <v>53222</v>
      </c>
      <c r="AE692">
        <v>54568</v>
      </c>
      <c r="AF692">
        <v>55948</v>
      </c>
    </row>
    <row r="693" spans="1:32" ht="15" customHeight="1" x14ac:dyDescent="0.25">
      <c r="A693" t="s">
        <v>909</v>
      </c>
    </row>
    <row r="694" spans="1:32" ht="15" customHeight="1" x14ac:dyDescent="0.25">
      <c r="A694" t="s">
        <v>910</v>
      </c>
    </row>
    <row r="695" spans="1:32" ht="15" customHeight="1" x14ac:dyDescent="0.25">
      <c r="A695" t="s">
        <v>1199</v>
      </c>
    </row>
    <row r="696" spans="1:32" ht="15" customHeight="1" x14ac:dyDescent="0.25">
      <c r="A696" t="s">
        <v>911</v>
      </c>
    </row>
    <row r="697" spans="1:32" ht="15" customHeight="1" x14ac:dyDescent="0.25">
      <c r="A697" t="s">
        <v>912</v>
      </c>
    </row>
    <row r="698" spans="1:32" ht="15" customHeight="1" x14ac:dyDescent="0.25">
      <c r="A698" t="s">
        <v>913</v>
      </c>
    </row>
    <row r="699" spans="1:32" ht="15" customHeight="1" x14ac:dyDescent="0.25">
      <c r="A699" t="s">
        <v>914</v>
      </c>
    </row>
    <row r="700" spans="1:32" ht="15" customHeight="1" x14ac:dyDescent="0.25">
      <c r="A700" t="s">
        <v>915</v>
      </c>
    </row>
    <row r="701" spans="1:32" ht="15" customHeight="1" x14ac:dyDescent="0.25">
      <c r="A701" t="s">
        <v>916</v>
      </c>
      <c r="B701">
        <v>23959</v>
      </c>
      <c r="C701">
        <v>30975</v>
      </c>
      <c r="D701">
        <v>36136</v>
      </c>
      <c r="E701">
        <v>40181</v>
      </c>
      <c r="F701">
        <v>43161</v>
      </c>
      <c r="G701">
        <v>45687</v>
      </c>
      <c r="H701">
        <v>47963</v>
      </c>
      <c r="I701">
        <v>50139</v>
      </c>
      <c r="J701">
        <v>52205</v>
      </c>
      <c r="K701">
        <v>54178</v>
      </c>
      <c r="L701">
        <v>55981</v>
      </c>
      <c r="M701">
        <v>57701</v>
      </c>
      <c r="N701">
        <v>59390</v>
      </c>
      <c r="O701">
        <v>61094</v>
      </c>
      <c r="P701">
        <v>62813</v>
      </c>
      <c r="Q701">
        <v>64533</v>
      </c>
      <c r="R701">
        <v>66250</v>
      </c>
      <c r="S701">
        <v>67997</v>
      </c>
      <c r="T701">
        <v>69761</v>
      </c>
      <c r="U701">
        <v>71581</v>
      </c>
      <c r="V701">
        <v>73400</v>
      </c>
      <c r="W701">
        <v>75201</v>
      </c>
      <c r="X701">
        <v>76999</v>
      </c>
      <c r="Y701">
        <v>78822</v>
      </c>
      <c r="Z701">
        <v>80472</v>
      </c>
      <c r="AA701">
        <v>82165</v>
      </c>
      <c r="AB701">
        <v>83844</v>
      </c>
      <c r="AC701">
        <v>85510</v>
      </c>
      <c r="AD701">
        <v>87154</v>
      </c>
      <c r="AE701">
        <v>88830</v>
      </c>
      <c r="AF701">
        <v>90538</v>
      </c>
    </row>
    <row r="702" spans="1:32" ht="15" customHeight="1" x14ac:dyDescent="0.25">
      <c r="A702" t="s">
        <v>917</v>
      </c>
      <c r="B702">
        <v>5590</v>
      </c>
      <c r="C702">
        <v>6868</v>
      </c>
      <c r="D702">
        <v>7852</v>
      </c>
      <c r="E702">
        <v>8626</v>
      </c>
      <c r="F702">
        <v>9208</v>
      </c>
      <c r="G702">
        <v>9706</v>
      </c>
      <c r="H702">
        <v>10167</v>
      </c>
      <c r="I702">
        <v>10604</v>
      </c>
      <c r="J702">
        <v>11024</v>
      </c>
      <c r="K702">
        <v>11418</v>
      </c>
      <c r="L702">
        <v>11782</v>
      </c>
      <c r="M702">
        <v>12123</v>
      </c>
      <c r="N702">
        <v>12462</v>
      </c>
      <c r="O702">
        <v>12800</v>
      </c>
      <c r="P702">
        <v>13146</v>
      </c>
      <c r="Q702">
        <v>13483</v>
      </c>
      <c r="R702">
        <v>13831</v>
      </c>
      <c r="S702">
        <v>14174</v>
      </c>
      <c r="T702">
        <v>14529</v>
      </c>
      <c r="U702">
        <v>14888</v>
      </c>
      <c r="V702">
        <v>15252</v>
      </c>
      <c r="W702">
        <v>15606</v>
      </c>
      <c r="X702">
        <v>15968</v>
      </c>
      <c r="Y702">
        <v>16328</v>
      </c>
      <c r="Z702">
        <v>16680</v>
      </c>
      <c r="AA702">
        <v>17028</v>
      </c>
      <c r="AB702">
        <v>17379</v>
      </c>
      <c r="AC702">
        <v>17718</v>
      </c>
      <c r="AD702">
        <v>18060</v>
      </c>
      <c r="AE702">
        <v>18410</v>
      </c>
      <c r="AF702">
        <v>18766</v>
      </c>
    </row>
    <row r="703" spans="1:32" ht="15" customHeight="1" x14ac:dyDescent="0.25">
      <c r="A703" t="s">
        <v>918</v>
      </c>
    </row>
    <row r="704" spans="1:32" ht="15" customHeight="1" x14ac:dyDescent="0.25">
      <c r="A704" t="s">
        <v>919</v>
      </c>
    </row>
    <row r="705" spans="1:1" ht="15" customHeight="1" x14ac:dyDescent="0.25">
      <c r="A705" t="s">
        <v>920</v>
      </c>
    </row>
    <row r="706" spans="1:1" ht="15" customHeight="1" x14ac:dyDescent="0.25">
      <c r="A706" t="s">
        <v>921</v>
      </c>
    </row>
    <row r="707" spans="1:1" ht="15" customHeight="1" x14ac:dyDescent="0.25">
      <c r="A707" t="s">
        <v>922</v>
      </c>
    </row>
    <row r="708" spans="1:1" ht="15" customHeight="1" x14ac:dyDescent="0.25">
      <c r="A708" t="s">
        <v>1200</v>
      </c>
    </row>
    <row r="709" spans="1:1" ht="15" customHeight="1" x14ac:dyDescent="0.25">
      <c r="A709" t="s">
        <v>1201</v>
      </c>
    </row>
    <row r="710" spans="1:1" ht="15" customHeight="1" x14ac:dyDescent="0.25">
      <c r="A710" t="s">
        <v>1202</v>
      </c>
    </row>
    <row r="711" spans="1:1" ht="15" customHeight="1" x14ac:dyDescent="0.25">
      <c r="A711" t="s">
        <v>923</v>
      </c>
    </row>
    <row r="712" spans="1:1" ht="15" customHeight="1" x14ac:dyDescent="0.25">
      <c r="A712" t="s">
        <v>924</v>
      </c>
    </row>
    <row r="713" spans="1:1" ht="15" customHeight="1" x14ac:dyDescent="0.25">
      <c r="A713" t="s">
        <v>1203</v>
      </c>
    </row>
    <row r="714" spans="1:1" ht="15" customHeight="1" x14ac:dyDescent="0.25">
      <c r="A714" t="s">
        <v>925</v>
      </c>
    </row>
    <row r="715" spans="1:1" ht="15" customHeight="1" x14ac:dyDescent="0.25">
      <c r="A715" t="s">
        <v>926</v>
      </c>
    </row>
    <row r="716" spans="1:1" ht="15" customHeight="1" x14ac:dyDescent="0.25">
      <c r="A716" t="s">
        <v>927</v>
      </c>
    </row>
    <row r="717" spans="1:1" ht="15" customHeight="1" x14ac:dyDescent="0.25">
      <c r="A717" t="s">
        <v>928</v>
      </c>
    </row>
    <row r="718" spans="1:1" ht="15" customHeight="1" x14ac:dyDescent="0.25">
      <c r="A718" t="s">
        <v>929</v>
      </c>
    </row>
    <row r="719" spans="1:1" ht="15" customHeight="1" x14ac:dyDescent="0.25">
      <c r="A719" t="s">
        <v>930</v>
      </c>
    </row>
    <row r="720" spans="1:1" ht="15" customHeight="1" x14ac:dyDescent="0.25">
      <c r="A720" t="s">
        <v>931</v>
      </c>
    </row>
    <row r="721" spans="1:1" ht="15" customHeight="1" x14ac:dyDescent="0.25">
      <c r="A721" t="s">
        <v>932</v>
      </c>
    </row>
    <row r="722" spans="1:1" ht="15" customHeight="1" x14ac:dyDescent="0.25">
      <c r="A722" t="s">
        <v>933</v>
      </c>
    </row>
    <row r="723" spans="1:1" ht="15" customHeight="1" x14ac:dyDescent="0.25">
      <c r="A723" t="s">
        <v>934</v>
      </c>
    </row>
    <row r="724" spans="1:1" ht="15" customHeight="1" x14ac:dyDescent="0.25">
      <c r="A724" t="s">
        <v>935</v>
      </c>
    </row>
    <row r="725" spans="1:1" ht="15" customHeight="1" x14ac:dyDescent="0.25">
      <c r="A725" t="s">
        <v>936</v>
      </c>
    </row>
    <row r="726" spans="1:1" ht="15" customHeight="1" x14ac:dyDescent="0.25">
      <c r="A726" t="s">
        <v>1204</v>
      </c>
    </row>
    <row r="727" spans="1:1" ht="15" customHeight="1" x14ac:dyDescent="0.25">
      <c r="A727" t="s">
        <v>937</v>
      </c>
    </row>
    <row r="728" spans="1:1" ht="15" customHeight="1" x14ac:dyDescent="0.25">
      <c r="A728" t="s">
        <v>1205</v>
      </c>
    </row>
    <row r="729" spans="1:1" ht="15" customHeight="1" x14ac:dyDescent="0.25">
      <c r="A729" t="s">
        <v>938</v>
      </c>
    </row>
    <row r="730" spans="1:1" ht="15" customHeight="1" x14ac:dyDescent="0.25">
      <c r="A730" t="s">
        <v>1206</v>
      </c>
    </row>
    <row r="731" spans="1:1" ht="15" customHeight="1" x14ac:dyDescent="0.25">
      <c r="A731" t="s">
        <v>939</v>
      </c>
    </row>
    <row r="732" spans="1:1" ht="15" customHeight="1" x14ac:dyDescent="0.25">
      <c r="A732" t="s">
        <v>940</v>
      </c>
    </row>
    <row r="733" spans="1:1" ht="15" customHeight="1" x14ac:dyDescent="0.25">
      <c r="A733" t="s">
        <v>941</v>
      </c>
    </row>
    <row r="734" spans="1:1" ht="15" customHeight="1" x14ac:dyDescent="0.25">
      <c r="A734" t="s">
        <v>942</v>
      </c>
    </row>
    <row r="735" spans="1:1" ht="15" customHeight="1" x14ac:dyDescent="0.25">
      <c r="A735" t="s">
        <v>943</v>
      </c>
    </row>
    <row r="736" spans="1:1" ht="15" customHeight="1" x14ac:dyDescent="0.25">
      <c r="A736" t="s">
        <v>944</v>
      </c>
    </row>
    <row r="737" spans="1:32" ht="15" customHeight="1" x14ac:dyDescent="0.25">
      <c r="A737" t="s">
        <v>945</v>
      </c>
    </row>
    <row r="738" spans="1:32" ht="15" customHeight="1" x14ac:dyDescent="0.25">
      <c r="A738" t="s">
        <v>1207</v>
      </c>
    </row>
    <row r="739" spans="1:32" ht="15" customHeight="1" x14ac:dyDescent="0.25">
      <c r="A739" t="s">
        <v>946</v>
      </c>
      <c r="B739">
        <v>6278</v>
      </c>
      <c r="C739">
        <v>7495</v>
      </c>
      <c r="D739">
        <v>8440</v>
      </c>
      <c r="E739">
        <v>9201</v>
      </c>
      <c r="F739">
        <v>9747</v>
      </c>
      <c r="G739">
        <v>10212</v>
      </c>
      <c r="H739">
        <v>10624</v>
      </c>
      <c r="I739">
        <v>11018</v>
      </c>
      <c r="J739">
        <v>11418</v>
      </c>
      <c r="K739">
        <v>11779</v>
      </c>
      <c r="L739">
        <v>12117</v>
      </c>
      <c r="M739">
        <v>12430</v>
      </c>
      <c r="N739">
        <v>12735</v>
      </c>
      <c r="O739">
        <v>13047</v>
      </c>
      <c r="P739">
        <v>13356</v>
      </c>
      <c r="Q739">
        <v>13676</v>
      </c>
      <c r="R739">
        <v>13989</v>
      </c>
      <c r="S739">
        <v>14294</v>
      </c>
      <c r="T739">
        <v>14616</v>
      </c>
      <c r="U739">
        <v>14940</v>
      </c>
      <c r="V739">
        <v>15265</v>
      </c>
      <c r="W739">
        <v>15583</v>
      </c>
      <c r="X739">
        <v>15903</v>
      </c>
      <c r="Y739">
        <v>16225</v>
      </c>
      <c r="Z739">
        <v>16541</v>
      </c>
      <c r="AA739">
        <v>16862</v>
      </c>
      <c r="AB739">
        <v>17171</v>
      </c>
      <c r="AC739">
        <v>17476</v>
      </c>
      <c r="AD739">
        <v>17777</v>
      </c>
      <c r="AE739">
        <v>18082</v>
      </c>
      <c r="AF739">
        <v>18394</v>
      </c>
    </row>
    <row r="740" spans="1:32" ht="15" customHeight="1" x14ac:dyDescent="0.25">
      <c r="A740" t="s">
        <v>947</v>
      </c>
    </row>
    <row r="741" spans="1:32" ht="15" customHeight="1" x14ac:dyDescent="0.25">
      <c r="A741" t="s">
        <v>948</v>
      </c>
    </row>
    <row r="742" spans="1:32" ht="15" customHeight="1" x14ac:dyDescent="0.25">
      <c r="A742" t="s">
        <v>949</v>
      </c>
    </row>
    <row r="743" spans="1:32" ht="15" customHeight="1" x14ac:dyDescent="0.25">
      <c r="A743" t="s">
        <v>950</v>
      </c>
    </row>
    <row r="744" spans="1:32" ht="15" customHeight="1" x14ac:dyDescent="0.25">
      <c r="A744" t="s">
        <v>951</v>
      </c>
    </row>
    <row r="745" spans="1:32" ht="15" customHeight="1" x14ac:dyDescent="0.25">
      <c r="A745" t="s">
        <v>952</v>
      </c>
    </row>
    <row r="746" spans="1:32" ht="15" customHeight="1" x14ac:dyDescent="0.25">
      <c r="A746" t="s">
        <v>953</v>
      </c>
    </row>
    <row r="747" spans="1:32" ht="15" customHeight="1" x14ac:dyDescent="0.25">
      <c r="A747" t="s">
        <v>954</v>
      </c>
    </row>
    <row r="748" spans="1:32" ht="15" customHeight="1" x14ac:dyDescent="0.25">
      <c r="A748" t="s">
        <v>955</v>
      </c>
    </row>
    <row r="749" spans="1:32" ht="15" customHeight="1" x14ac:dyDescent="0.25">
      <c r="A749" t="s">
        <v>956</v>
      </c>
    </row>
    <row r="750" spans="1:32" ht="15" customHeight="1" x14ac:dyDescent="0.25">
      <c r="A750" t="s">
        <v>1208</v>
      </c>
    </row>
    <row r="751" spans="1:32" ht="15" customHeight="1" x14ac:dyDescent="0.25">
      <c r="A751" t="s">
        <v>957</v>
      </c>
    </row>
    <row r="752" spans="1:32" ht="15" customHeight="1" x14ac:dyDescent="0.25">
      <c r="A752" t="s">
        <v>958</v>
      </c>
    </row>
    <row r="753" spans="1:32" ht="15" customHeight="1" x14ac:dyDescent="0.25">
      <c r="A753" t="s">
        <v>959</v>
      </c>
    </row>
    <row r="754" spans="1:32" ht="15" customHeight="1" x14ac:dyDescent="0.25">
      <c r="A754" t="s">
        <v>960</v>
      </c>
    </row>
    <row r="755" spans="1:32" ht="15" customHeight="1" x14ac:dyDescent="0.25">
      <c r="A755" t="s">
        <v>1209</v>
      </c>
    </row>
    <row r="756" spans="1:32" ht="15" customHeight="1" x14ac:dyDescent="0.25">
      <c r="A756" t="s">
        <v>961</v>
      </c>
    </row>
    <row r="757" spans="1:32" ht="15" customHeight="1" x14ac:dyDescent="0.25">
      <c r="A757" t="s">
        <v>962</v>
      </c>
    </row>
    <row r="758" spans="1:32" ht="15" customHeight="1" x14ac:dyDescent="0.25">
      <c r="A758" t="s">
        <v>963</v>
      </c>
    </row>
    <row r="759" spans="1:32" ht="15" customHeight="1" x14ac:dyDescent="0.25">
      <c r="A759" t="s">
        <v>71</v>
      </c>
      <c r="B759" s="9">
        <v>32265</v>
      </c>
      <c r="C759" s="9">
        <v>38999</v>
      </c>
      <c r="D759" s="9">
        <v>44200</v>
      </c>
      <c r="E759" s="9">
        <v>48335</v>
      </c>
      <c r="F759" s="9">
        <v>51472</v>
      </c>
      <c r="G759" s="9">
        <v>54190</v>
      </c>
      <c r="H759" s="9">
        <v>56717</v>
      </c>
      <c r="I759" s="9">
        <v>59118</v>
      </c>
      <c r="J759" s="9">
        <v>61420</v>
      </c>
      <c r="K759" s="9">
        <v>63584</v>
      </c>
      <c r="L759" s="9">
        <v>65591</v>
      </c>
      <c r="M759" s="9">
        <v>67473</v>
      </c>
      <c r="N759" s="9">
        <v>69352</v>
      </c>
      <c r="O759" s="9">
        <v>71224</v>
      </c>
      <c r="P759" s="9">
        <v>73149</v>
      </c>
      <c r="Q759" s="9">
        <v>75046</v>
      </c>
      <c r="R759" s="9">
        <v>76983</v>
      </c>
      <c r="S759" s="9">
        <v>78910</v>
      </c>
      <c r="T759" s="9">
        <v>80907</v>
      </c>
      <c r="U759" s="9">
        <v>82935</v>
      </c>
      <c r="V759" s="9">
        <v>84992</v>
      </c>
      <c r="W759" s="9">
        <v>86999</v>
      </c>
      <c r="X759" s="9">
        <v>89038</v>
      </c>
      <c r="Y759" s="9">
        <v>91064</v>
      </c>
      <c r="Z759" s="9">
        <v>92950</v>
      </c>
      <c r="AA759" s="9">
        <v>94752</v>
      </c>
      <c r="AB759" s="9">
        <v>96541</v>
      </c>
      <c r="AC759" s="9">
        <v>98254</v>
      </c>
      <c r="AD759" s="9">
        <v>99973</v>
      </c>
      <c r="AE759" s="9">
        <v>101726</v>
      </c>
      <c r="AF759" s="9">
        <v>103509</v>
      </c>
    </row>
    <row r="760" spans="1:32" x14ac:dyDescent="0.25">
      <c r="A760" t="s">
        <v>1210</v>
      </c>
    </row>
    <row r="761" spans="1:32" ht="15" customHeight="1" x14ac:dyDescent="0.25">
      <c r="A761" t="s">
        <v>964</v>
      </c>
    </row>
    <row r="762" spans="1:32" ht="15" customHeight="1" x14ac:dyDescent="0.25">
      <c r="A762" t="s">
        <v>965</v>
      </c>
    </row>
    <row r="763" spans="1:32" ht="15" customHeight="1" x14ac:dyDescent="0.25">
      <c r="A763" t="s">
        <v>966</v>
      </c>
    </row>
    <row r="764" spans="1:32" ht="15" customHeight="1" x14ac:dyDescent="0.25">
      <c r="A764" t="s">
        <v>967</v>
      </c>
    </row>
    <row r="765" spans="1:32" ht="15" customHeight="1" x14ac:dyDescent="0.25">
      <c r="A765" t="s">
        <v>968</v>
      </c>
    </row>
    <row r="766" spans="1:32" ht="15" customHeight="1" x14ac:dyDescent="0.25">
      <c r="A766" t="s">
        <v>1211</v>
      </c>
    </row>
    <row r="767" spans="1:32" ht="15" customHeight="1" x14ac:dyDescent="0.25">
      <c r="A767" t="s">
        <v>1261</v>
      </c>
    </row>
    <row r="768" spans="1:32" x14ac:dyDescent="0.25">
      <c r="A768" t="s">
        <v>969</v>
      </c>
    </row>
    <row r="769" spans="1:32" ht="15" customHeight="1" x14ac:dyDescent="0.25">
      <c r="A769" t="s">
        <v>970</v>
      </c>
    </row>
    <row r="770" spans="1:32" ht="15" customHeight="1" x14ac:dyDescent="0.25">
      <c r="A770" t="s">
        <v>971</v>
      </c>
    </row>
    <row r="771" spans="1:32" ht="15" customHeight="1" x14ac:dyDescent="0.25">
      <c r="A771" t="s">
        <v>972</v>
      </c>
    </row>
    <row r="772" spans="1:32" ht="15" customHeight="1" x14ac:dyDescent="0.25">
      <c r="A772" t="s">
        <v>973</v>
      </c>
    </row>
    <row r="773" spans="1:32" ht="15" customHeight="1" x14ac:dyDescent="0.25">
      <c r="A773" t="s">
        <v>974</v>
      </c>
    </row>
    <row r="774" spans="1:32" ht="15" customHeight="1" x14ac:dyDescent="0.25">
      <c r="A774" t="s">
        <v>1212</v>
      </c>
    </row>
    <row r="775" spans="1:32" ht="15" customHeight="1" x14ac:dyDescent="0.25">
      <c r="A775" t="s">
        <v>975</v>
      </c>
    </row>
    <row r="776" spans="1:32" ht="15" customHeight="1" x14ac:dyDescent="0.25">
      <c r="A776" t="s">
        <v>976</v>
      </c>
    </row>
    <row r="777" spans="1:32" ht="15" customHeight="1" x14ac:dyDescent="0.25">
      <c r="A777" t="s">
        <v>977</v>
      </c>
    </row>
    <row r="778" spans="1:32" ht="15" customHeight="1" x14ac:dyDescent="0.25">
      <c r="A778" t="s">
        <v>978</v>
      </c>
    </row>
    <row r="779" spans="1:32" ht="15" customHeight="1" x14ac:dyDescent="0.25">
      <c r="A779" t="s">
        <v>979</v>
      </c>
    </row>
    <row r="780" spans="1:32" ht="15" customHeight="1" x14ac:dyDescent="0.25">
      <c r="A780" t="s">
        <v>980</v>
      </c>
    </row>
    <row r="781" spans="1:32" ht="15" customHeight="1" x14ac:dyDescent="0.25">
      <c r="A781" t="s">
        <v>981</v>
      </c>
      <c r="B781">
        <v>37774</v>
      </c>
      <c r="C781">
        <v>46728</v>
      </c>
      <c r="D781">
        <v>53539</v>
      </c>
      <c r="E781">
        <v>58906</v>
      </c>
      <c r="F781">
        <v>62951</v>
      </c>
      <c r="G781">
        <v>66416</v>
      </c>
      <c r="H781">
        <v>69602</v>
      </c>
      <c r="I781">
        <v>72626</v>
      </c>
      <c r="J781">
        <v>75511</v>
      </c>
      <c r="K781">
        <v>78221</v>
      </c>
      <c r="L781">
        <v>80728</v>
      </c>
      <c r="M781">
        <v>83071</v>
      </c>
      <c r="N781">
        <v>85407</v>
      </c>
      <c r="O781">
        <v>87721</v>
      </c>
      <c r="P781">
        <v>90095</v>
      </c>
      <c r="Q781">
        <v>92436</v>
      </c>
      <c r="R781">
        <v>94801</v>
      </c>
      <c r="S781">
        <v>97166</v>
      </c>
      <c r="T781">
        <v>99591</v>
      </c>
      <c r="U781">
        <v>102065</v>
      </c>
      <c r="V781">
        <v>104556</v>
      </c>
      <c r="W781">
        <v>107004</v>
      </c>
      <c r="X781">
        <v>109475</v>
      </c>
      <c r="Y781">
        <v>111940</v>
      </c>
      <c r="Z781">
        <v>114251</v>
      </c>
      <c r="AA781">
        <v>116584</v>
      </c>
      <c r="AB781">
        <v>118912</v>
      </c>
      <c r="AC781">
        <v>121208</v>
      </c>
      <c r="AD781">
        <v>123492</v>
      </c>
      <c r="AE781">
        <v>125819</v>
      </c>
      <c r="AF781">
        <v>128189</v>
      </c>
    </row>
    <row r="782" spans="1:32" ht="15" customHeight="1" x14ac:dyDescent="0.25">
      <c r="A782" t="s">
        <v>982</v>
      </c>
    </row>
    <row r="783" spans="1:32" ht="15" customHeight="1" x14ac:dyDescent="0.25">
      <c r="A783" t="s">
        <v>335</v>
      </c>
      <c r="B783">
        <v>2154</v>
      </c>
      <c r="C783">
        <v>2567</v>
      </c>
      <c r="D783">
        <v>2897</v>
      </c>
      <c r="E783">
        <v>3165</v>
      </c>
      <c r="F783">
        <v>3374</v>
      </c>
      <c r="G783">
        <v>3556</v>
      </c>
      <c r="H783">
        <v>3727</v>
      </c>
      <c r="I783">
        <v>3890</v>
      </c>
      <c r="J783">
        <v>4047</v>
      </c>
      <c r="K783">
        <v>4195</v>
      </c>
      <c r="L783">
        <v>4332</v>
      </c>
      <c r="M783">
        <v>4459</v>
      </c>
      <c r="N783">
        <v>4587</v>
      </c>
      <c r="O783">
        <v>4713</v>
      </c>
      <c r="P783">
        <v>4844</v>
      </c>
      <c r="Q783">
        <v>4970</v>
      </c>
      <c r="R783">
        <v>5101</v>
      </c>
      <c r="S783">
        <v>5230</v>
      </c>
      <c r="T783">
        <v>5363</v>
      </c>
      <c r="U783">
        <v>5498</v>
      </c>
      <c r="V783">
        <v>5635</v>
      </c>
      <c r="W783">
        <v>5768</v>
      </c>
      <c r="X783">
        <v>5904</v>
      </c>
      <c r="Y783">
        <v>6037</v>
      </c>
      <c r="Z783">
        <v>6170</v>
      </c>
      <c r="AA783">
        <v>6298</v>
      </c>
      <c r="AB783">
        <v>6427</v>
      </c>
      <c r="AC783">
        <v>6550</v>
      </c>
      <c r="AD783">
        <v>6674</v>
      </c>
      <c r="AE783">
        <v>6800</v>
      </c>
      <c r="AF783">
        <v>6928</v>
      </c>
    </row>
    <row r="784" spans="1:32" x14ac:dyDescent="0.25">
      <c r="A784" t="s">
        <v>983</v>
      </c>
    </row>
    <row r="785" spans="1:1" ht="15" customHeight="1" x14ac:dyDescent="0.25">
      <c r="A785" t="s">
        <v>984</v>
      </c>
    </row>
    <row r="786" spans="1:1" ht="15" customHeight="1" x14ac:dyDescent="0.25">
      <c r="A786" t="s">
        <v>985</v>
      </c>
    </row>
    <row r="787" spans="1:1" ht="15" customHeight="1" x14ac:dyDescent="0.25">
      <c r="A787" t="s">
        <v>986</v>
      </c>
    </row>
    <row r="788" spans="1:1" ht="15" customHeight="1" x14ac:dyDescent="0.25">
      <c r="A788" t="s">
        <v>987</v>
      </c>
    </row>
    <row r="789" spans="1:1" ht="15" customHeight="1" x14ac:dyDescent="0.25">
      <c r="A789" t="s">
        <v>988</v>
      </c>
    </row>
    <row r="790" spans="1:1" ht="15" customHeight="1" x14ac:dyDescent="0.25">
      <c r="A790" t="s">
        <v>989</v>
      </c>
    </row>
    <row r="791" spans="1:1" ht="15" customHeight="1" x14ac:dyDescent="0.25">
      <c r="A791" t="s">
        <v>1213</v>
      </c>
    </row>
    <row r="792" spans="1:1" ht="15" customHeight="1" x14ac:dyDescent="0.25">
      <c r="A792" t="s">
        <v>1214</v>
      </c>
    </row>
    <row r="793" spans="1:1" ht="15" customHeight="1" x14ac:dyDescent="0.25">
      <c r="A793" t="s">
        <v>990</v>
      </c>
    </row>
    <row r="794" spans="1:1" ht="15" customHeight="1" x14ac:dyDescent="0.25">
      <c r="A794" t="s">
        <v>991</v>
      </c>
    </row>
    <row r="795" spans="1:1" ht="15" customHeight="1" x14ac:dyDescent="0.25">
      <c r="A795" t="s">
        <v>992</v>
      </c>
    </row>
    <row r="796" spans="1:1" ht="15" customHeight="1" x14ac:dyDescent="0.25">
      <c r="A796" t="s">
        <v>1215</v>
      </c>
    </row>
    <row r="797" spans="1:1" ht="15" customHeight="1" x14ac:dyDescent="0.25">
      <c r="A797" t="s">
        <v>993</v>
      </c>
    </row>
    <row r="798" spans="1:1" ht="15" customHeight="1" x14ac:dyDescent="0.25">
      <c r="A798" t="s">
        <v>994</v>
      </c>
    </row>
    <row r="799" spans="1:1" ht="15" customHeight="1" x14ac:dyDescent="0.25">
      <c r="A799" t="s">
        <v>995</v>
      </c>
    </row>
    <row r="800" spans="1:1" ht="15" customHeight="1" x14ac:dyDescent="0.25">
      <c r="A800" t="s">
        <v>996</v>
      </c>
    </row>
    <row r="801" spans="1:32" ht="15" customHeight="1" x14ac:dyDescent="0.25">
      <c r="A801" t="s">
        <v>997</v>
      </c>
    </row>
    <row r="802" spans="1:32" ht="15" customHeight="1" x14ac:dyDescent="0.25">
      <c r="A802" t="s">
        <v>130</v>
      </c>
      <c r="B802" s="9">
        <v>60878</v>
      </c>
      <c r="C802" s="9">
        <v>72847</v>
      </c>
      <c r="D802" s="9">
        <v>82210</v>
      </c>
      <c r="E802" s="9">
        <v>89700</v>
      </c>
      <c r="F802" s="9">
        <v>95374</v>
      </c>
      <c r="G802" s="9">
        <v>100275</v>
      </c>
      <c r="H802" s="9">
        <v>104819</v>
      </c>
      <c r="I802" s="9">
        <v>109119</v>
      </c>
      <c r="J802" s="9">
        <v>113497</v>
      </c>
      <c r="K802" s="9">
        <v>117584</v>
      </c>
      <c r="L802" s="9">
        <v>121314</v>
      </c>
      <c r="M802" s="9">
        <v>124937</v>
      </c>
      <c r="N802" s="9">
        <v>128389</v>
      </c>
      <c r="O802" s="9">
        <v>131928</v>
      </c>
      <c r="P802" s="9">
        <v>135552</v>
      </c>
      <c r="Q802" s="9">
        <v>139199</v>
      </c>
      <c r="R802" s="9">
        <v>142794</v>
      </c>
      <c r="S802" s="9">
        <v>146383</v>
      </c>
      <c r="T802" s="9">
        <v>150071</v>
      </c>
      <c r="U802" s="9">
        <v>153673</v>
      </c>
      <c r="V802" s="9">
        <v>157519</v>
      </c>
      <c r="W802" s="9">
        <v>161170</v>
      </c>
      <c r="X802" s="9">
        <v>164857</v>
      </c>
      <c r="Y802" s="9">
        <v>168697</v>
      </c>
      <c r="Z802" s="9">
        <v>172108</v>
      </c>
      <c r="AA802" s="9">
        <v>175687</v>
      </c>
      <c r="AB802" s="9">
        <v>179145</v>
      </c>
      <c r="AC802" s="9">
        <v>182554</v>
      </c>
      <c r="AD802" s="9">
        <v>186038</v>
      </c>
      <c r="AE802" s="9">
        <v>189589</v>
      </c>
      <c r="AF802" s="9">
        <v>193208</v>
      </c>
    </row>
    <row r="803" spans="1:32" x14ac:dyDescent="0.25">
      <c r="A803" t="s">
        <v>998</v>
      </c>
    </row>
    <row r="804" spans="1:32" ht="15" customHeight="1" x14ac:dyDescent="0.25">
      <c r="A804" t="s">
        <v>999</v>
      </c>
    </row>
    <row r="805" spans="1:32" ht="15" customHeight="1" x14ac:dyDescent="0.25">
      <c r="A805" t="s">
        <v>1000</v>
      </c>
    </row>
    <row r="806" spans="1:32" ht="15" customHeight="1" x14ac:dyDescent="0.25">
      <c r="A806" t="s">
        <v>1001</v>
      </c>
    </row>
    <row r="807" spans="1:32" ht="15" customHeight="1" x14ac:dyDescent="0.25">
      <c r="A807" t="s">
        <v>1002</v>
      </c>
    </row>
    <row r="808" spans="1:32" ht="15" customHeight="1" x14ac:dyDescent="0.25">
      <c r="A808" t="s">
        <v>1216</v>
      </c>
    </row>
    <row r="809" spans="1:32" ht="15" customHeight="1" x14ac:dyDescent="0.25">
      <c r="A809" t="s">
        <v>1003</v>
      </c>
    </row>
    <row r="810" spans="1:32" ht="15" customHeight="1" x14ac:dyDescent="0.25">
      <c r="A810" t="s">
        <v>1004</v>
      </c>
    </row>
    <row r="811" spans="1:32" ht="15" customHeight="1" x14ac:dyDescent="0.25">
      <c r="A811" t="s">
        <v>1005</v>
      </c>
    </row>
    <row r="812" spans="1:32" ht="15" customHeight="1" x14ac:dyDescent="0.25">
      <c r="A812" t="s">
        <v>1006</v>
      </c>
    </row>
    <row r="813" spans="1:32" ht="15" customHeight="1" x14ac:dyDescent="0.25">
      <c r="A813" t="s">
        <v>1007</v>
      </c>
    </row>
    <row r="814" spans="1:32" ht="15" customHeight="1" x14ac:dyDescent="0.25">
      <c r="A814" t="s">
        <v>1008</v>
      </c>
    </row>
    <row r="815" spans="1:32" ht="15" customHeight="1" x14ac:dyDescent="0.25">
      <c r="A815" t="s">
        <v>1009</v>
      </c>
    </row>
    <row r="816" spans="1:32" ht="15" customHeight="1" x14ac:dyDescent="0.25">
      <c r="A816" t="s">
        <v>1010</v>
      </c>
    </row>
    <row r="817" spans="1:32" ht="15" customHeight="1" x14ac:dyDescent="0.25">
      <c r="A817" t="s">
        <v>1011</v>
      </c>
      <c r="B817">
        <v>161321</v>
      </c>
      <c r="C817">
        <v>189298</v>
      </c>
      <c r="D817">
        <v>210812</v>
      </c>
      <c r="E817">
        <v>227582</v>
      </c>
      <c r="F817">
        <v>239758</v>
      </c>
      <c r="G817">
        <v>249914</v>
      </c>
      <c r="H817">
        <v>259100</v>
      </c>
      <c r="I817">
        <v>267805</v>
      </c>
      <c r="J817">
        <v>276329</v>
      </c>
      <c r="K817">
        <v>284277</v>
      </c>
      <c r="L817">
        <v>291532</v>
      </c>
      <c r="M817">
        <v>298207</v>
      </c>
      <c r="N817">
        <v>304828</v>
      </c>
      <c r="O817">
        <v>311330</v>
      </c>
      <c r="P817">
        <v>318009</v>
      </c>
      <c r="Q817">
        <v>324480</v>
      </c>
      <c r="R817">
        <v>331074</v>
      </c>
      <c r="S817">
        <v>337595</v>
      </c>
      <c r="T817">
        <v>344317</v>
      </c>
      <c r="U817">
        <v>351106</v>
      </c>
      <c r="V817">
        <v>357980</v>
      </c>
      <c r="W817">
        <v>364602</v>
      </c>
      <c r="X817">
        <v>371307</v>
      </c>
      <c r="Y817">
        <v>377881</v>
      </c>
      <c r="Z817">
        <v>384513</v>
      </c>
      <c r="AA817">
        <v>391060</v>
      </c>
      <c r="AB817">
        <v>397642</v>
      </c>
      <c r="AC817">
        <v>403938</v>
      </c>
      <c r="AD817">
        <v>410239</v>
      </c>
      <c r="AE817">
        <v>416641</v>
      </c>
      <c r="AF817">
        <v>423144</v>
      </c>
    </row>
    <row r="818" spans="1:32" ht="15" customHeight="1" x14ac:dyDescent="0.25">
      <c r="A818" t="s">
        <v>1012</v>
      </c>
    </row>
    <row r="819" spans="1:32" ht="15" customHeight="1" x14ac:dyDescent="0.25">
      <c r="A819" t="s">
        <v>1013</v>
      </c>
    </row>
    <row r="820" spans="1:32" ht="15" customHeight="1" x14ac:dyDescent="0.25">
      <c r="A820" t="s">
        <v>1217</v>
      </c>
    </row>
    <row r="821" spans="1:32" ht="15" customHeight="1" x14ac:dyDescent="0.25">
      <c r="A821" t="s">
        <v>1218</v>
      </c>
    </row>
    <row r="822" spans="1:32" ht="15" customHeight="1" x14ac:dyDescent="0.25">
      <c r="A822" t="s">
        <v>1014</v>
      </c>
    </row>
    <row r="823" spans="1:32" ht="15" customHeight="1" x14ac:dyDescent="0.25">
      <c r="A823" t="s">
        <v>1015</v>
      </c>
    </row>
    <row r="824" spans="1:32" ht="15" customHeight="1" x14ac:dyDescent="0.25">
      <c r="A824" t="s">
        <v>1016</v>
      </c>
    </row>
    <row r="825" spans="1:32" ht="15" customHeight="1" x14ac:dyDescent="0.25">
      <c r="A825" t="s">
        <v>1219</v>
      </c>
    </row>
    <row r="826" spans="1:32" ht="15" customHeight="1" x14ac:dyDescent="0.25">
      <c r="A826" t="s">
        <v>1017</v>
      </c>
    </row>
    <row r="827" spans="1:32" ht="15" customHeight="1" x14ac:dyDescent="0.25">
      <c r="A827" t="s">
        <v>1018</v>
      </c>
    </row>
    <row r="828" spans="1:32" ht="15" customHeight="1" x14ac:dyDescent="0.25">
      <c r="A828" t="s">
        <v>1019</v>
      </c>
    </row>
    <row r="829" spans="1:32" ht="15" customHeight="1" x14ac:dyDescent="0.25">
      <c r="A829" t="s">
        <v>410</v>
      </c>
    </row>
    <row r="830" spans="1:32" ht="15" customHeight="1" x14ac:dyDescent="0.25">
      <c r="A830" t="s">
        <v>1220</v>
      </c>
    </row>
    <row r="831" spans="1:32" ht="15" customHeight="1" x14ac:dyDescent="0.25">
      <c r="A831" t="s">
        <v>1221</v>
      </c>
    </row>
    <row r="832" spans="1:32" ht="15" customHeight="1" x14ac:dyDescent="0.25">
      <c r="A832" t="s">
        <v>1020</v>
      </c>
    </row>
    <row r="833" spans="1:32" ht="15" customHeight="1" x14ac:dyDescent="0.25">
      <c r="A833" t="s">
        <v>1021</v>
      </c>
    </row>
    <row r="834" spans="1:32" ht="15" customHeight="1" x14ac:dyDescent="0.25">
      <c r="A834" t="s">
        <v>1222</v>
      </c>
    </row>
    <row r="835" spans="1:32" ht="15" customHeight="1" x14ac:dyDescent="0.25">
      <c r="A835" t="s">
        <v>1223</v>
      </c>
    </row>
    <row r="836" spans="1:32" ht="15" customHeight="1" x14ac:dyDescent="0.25">
      <c r="A836" t="s">
        <v>1224</v>
      </c>
    </row>
    <row r="837" spans="1:32" ht="15" customHeight="1" x14ac:dyDescent="0.25">
      <c r="A837" t="s">
        <v>336</v>
      </c>
      <c r="B837">
        <v>3854</v>
      </c>
      <c r="C837">
        <v>4718</v>
      </c>
      <c r="D837">
        <v>5575</v>
      </c>
      <c r="E837">
        <v>6376</v>
      </c>
      <c r="F837">
        <v>7230</v>
      </c>
      <c r="G837">
        <v>7810</v>
      </c>
      <c r="H837">
        <v>8295</v>
      </c>
      <c r="I837">
        <v>8703</v>
      </c>
      <c r="J837">
        <v>9131</v>
      </c>
      <c r="K837">
        <v>9515</v>
      </c>
      <c r="L837">
        <v>9902</v>
      </c>
      <c r="M837">
        <v>10242</v>
      </c>
      <c r="N837">
        <v>10619</v>
      </c>
      <c r="O837">
        <v>10955</v>
      </c>
      <c r="P837">
        <v>11346</v>
      </c>
      <c r="Q837">
        <v>11689</v>
      </c>
      <c r="R837">
        <v>12079</v>
      </c>
      <c r="S837">
        <v>12430</v>
      </c>
      <c r="T837">
        <v>12840</v>
      </c>
      <c r="U837">
        <v>13185</v>
      </c>
      <c r="V837">
        <v>13600</v>
      </c>
      <c r="W837">
        <v>13953</v>
      </c>
      <c r="X837">
        <v>14377</v>
      </c>
      <c r="Y837">
        <v>14750</v>
      </c>
      <c r="Z837">
        <v>15115</v>
      </c>
      <c r="AA837">
        <v>15426</v>
      </c>
      <c r="AB837">
        <v>15806</v>
      </c>
      <c r="AC837">
        <v>16123</v>
      </c>
      <c r="AD837">
        <v>16492</v>
      </c>
      <c r="AE837">
        <v>16869</v>
      </c>
      <c r="AF837">
        <v>17255</v>
      </c>
    </row>
    <row r="838" spans="1:32" x14ac:dyDescent="0.25">
      <c r="A838" t="s">
        <v>1022</v>
      </c>
    </row>
    <row r="839" spans="1:32" ht="15" customHeight="1" x14ac:dyDescent="0.25">
      <c r="A839" t="s">
        <v>1023</v>
      </c>
    </row>
    <row r="840" spans="1:32" ht="15" customHeight="1" x14ac:dyDescent="0.25">
      <c r="A840" t="s">
        <v>337</v>
      </c>
      <c r="B840">
        <v>16848</v>
      </c>
      <c r="C840">
        <v>19964</v>
      </c>
      <c r="D840">
        <v>22306</v>
      </c>
      <c r="E840">
        <v>24097</v>
      </c>
      <c r="F840">
        <v>25373</v>
      </c>
      <c r="G840">
        <v>26418</v>
      </c>
      <c r="H840">
        <v>27364</v>
      </c>
      <c r="I840">
        <v>28221</v>
      </c>
      <c r="J840">
        <v>29010</v>
      </c>
      <c r="K840">
        <v>29726</v>
      </c>
      <c r="L840">
        <v>30334</v>
      </c>
      <c r="M840">
        <v>30893</v>
      </c>
      <c r="N840">
        <v>31423</v>
      </c>
      <c r="O840">
        <v>31936</v>
      </c>
      <c r="P840">
        <v>32469</v>
      </c>
      <c r="Q840">
        <v>32985</v>
      </c>
      <c r="R840">
        <v>33474</v>
      </c>
      <c r="S840">
        <v>33963</v>
      </c>
      <c r="T840">
        <v>34470</v>
      </c>
      <c r="U840">
        <v>34985</v>
      </c>
      <c r="V840">
        <v>35474</v>
      </c>
      <c r="W840">
        <v>35947</v>
      </c>
      <c r="X840">
        <v>36414</v>
      </c>
      <c r="Y840">
        <v>36860</v>
      </c>
      <c r="Z840">
        <v>37280</v>
      </c>
      <c r="AA840">
        <v>37683</v>
      </c>
      <c r="AB840">
        <v>38089</v>
      </c>
      <c r="AC840">
        <v>38438</v>
      </c>
      <c r="AD840">
        <v>38777</v>
      </c>
      <c r="AE840">
        <v>39119</v>
      </c>
      <c r="AF840">
        <v>39464</v>
      </c>
    </row>
    <row r="841" spans="1:32" x14ac:dyDescent="0.25">
      <c r="A841" t="s">
        <v>1024</v>
      </c>
    </row>
    <row r="842" spans="1:32" ht="15" customHeight="1" x14ac:dyDescent="0.25">
      <c r="A842" t="s">
        <v>75</v>
      </c>
    </row>
    <row r="843" spans="1:32" x14ac:dyDescent="0.25">
      <c r="A843" t="s">
        <v>1225</v>
      </c>
    </row>
    <row r="844" spans="1:32" ht="15" customHeight="1" x14ac:dyDescent="0.25">
      <c r="A844" t="s">
        <v>1226</v>
      </c>
    </row>
    <row r="845" spans="1:32" ht="15" customHeight="1" x14ac:dyDescent="0.25">
      <c r="A845" t="s">
        <v>1025</v>
      </c>
    </row>
    <row r="846" spans="1:32" ht="15" customHeight="1" x14ac:dyDescent="0.25">
      <c r="A846" t="s">
        <v>1026</v>
      </c>
    </row>
    <row r="847" spans="1:32" ht="15" customHeight="1" x14ac:dyDescent="0.25">
      <c r="A847" t="s">
        <v>1027</v>
      </c>
    </row>
    <row r="848" spans="1:32" ht="15" customHeight="1" x14ac:dyDescent="0.25">
      <c r="A848" t="s">
        <v>338</v>
      </c>
      <c r="B848">
        <v>11005</v>
      </c>
      <c r="C848">
        <v>13770</v>
      </c>
      <c r="D848">
        <v>15816</v>
      </c>
      <c r="E848">
        <v>17326</v>
      </c>
      <c r="F848">
        <v>18387</v>
      </c>
      <c r="G848">
        <v>19245</v>
      </c>
      <c r="H848">
        <v>20003</v>
      </c>
      <c r="I848">
        <v>20694</v>
      </c>
      <c r="J848">
        <v>21339</v>
      </c>
      <c r="K848">
        <v>21922</v>
      </c>
      <c r="L848">
        <v>22433</v>
      </c>
      <c r="M848">
        <v>22892</v>
      </c>
      <c r="N848">
        <v>23341</v>
      </c>
      <c r="O848">
        <v>23776</v>
      </c>
      <c r="P848">
        <v>24213</v>
      </c>
      <c r="Q848">
        <v>24650</v>
      </c>
      <c r="R848">
        <v>25068</v>
      </c>
      <c r="S848">
        <v>25494</v>
      </c>
      <c r="T848">
        <v>25924</v>
      </c>
      <c r="U848">
        <v>26368</v>
      </c>
      <c r="V848">
        <v>26788</v>
      </c>
      <c r="W848">
        <v>27197</v>
      </c>
      <c r="X848">
        <v>27616</v>
      </c>
      <c r="Y848">
        <v>28012</v>
      </c>
      <c r="Z848">
        <v>28434</v>
      </c>
      <c r="AA848">
        <v>28836</v>
      </c>
      <c r="AB848">
        <v>29239</v>
      </c>
      <c r="AC848">
        <v>29620</v>
      </c>
      <c r="AD848">
        <v>29979</v>
      </c>
      <c r="AE848">
        <v>30343</v>
      </c>
      <c r="AF848">
        <v>30710</v>
      </c>
    </row>
    <row r="849" spans="1:32" x14ac:dyDescent="0.25">
      <c r="A849" t="s">
        <v>339</v>
      </c>
      <c r="B849">
        <v>17107</v>
      </c>
      <c r="C849">
        <v>20223</v>
      </c>
      <c r="D849">
        <v>22639</v>
      </c>
      <c r="E849">
        <v>24543</v>
      </c>
      <c r="F849">
        <v>25951</v>
      </c>
      <c r="G849">
        <v>27139</v>
      </c>
      <c r="H849">
        <v>28220</v>
      </c>
      <c r="I849">
        <v>29265</v>
      </c>
      <c r="J849">
        <v>30323</v>
      </c>
      <c r="K849">
        <v>31331</v>
      </c>
      <c r="L849">
        <v>32266</v>
      </c>
      <c r="M849">
        <v>33139</v>
      </c>
      <c r="N849">
        <v>34007</v>
      </c>
      <c r="O849">
        <v>34865</v>
      </c>
      <c r="P849">
        <v>35744</v>
      </c>
      <c r="Q849">
        <v>36605</v>
      </c>
      <c r="R849">
        <v>37478</v>
      </c>
      <c r="S849">
        <v>38347</v>
      </c>
      <c r="T849">
        <v>39242</v>
      </c>
      <c r="U849">
        <v>40145</v>
      </c>
      <c r="V849">
        <v>41063</v>
      </c>
      <c r="W849">
        <v>41953</v>
      </c>
      <c r="X849">
        <v>42855</v>
      </c>
      <c r="Y849">
        <v>43747</v>
      </c>
      <c r="Z849">
        <v>44640</v>
      </c>
      <c r="AA849">
        <v>45522</v>
      </c>
      <c r="AB849">
        <v>46412</v>
      </c>
      <c r="AC849">
        <v>47270</v>
      </c>
      <c r="AD849">
        <v>48135</v>
      </c>
      <c r="AE849">
        <v>49015</v>
      </c>
      <c r="AF849">
        <v>49912</v>
      </c>
    </row>
    <row r="850" spans="1:32" x14ac:dyDescent="0.25">
      <c r="A850" t="s">
        <v>1028</v>
      </c>
    </row>
    <row r="851" spans="1:32" ht="15" customHeight="1" x14ac:dyDescent="0.25">
      <c r="A851" t="s">
        <v>1029</v>
      </c>
    </row>
    <row r="852" spans="1:32" ht="15" customHeight="1" x14ac:dyDescent="0.25">
      <c r="A852" t="s">
        <v>1030</v>
      </c>
    </row>
    <row r="853" spans="1:32" ht="15" customHeight="1" x14ac:dyDescent="0.25">
      <c r="A853" t="s">
        <v>1031</v>
      </c>
    </row>
    <row r="854" spans="1:32" ht="15" customHeight="1" x14ac:dyDescent="0.25">
      <c r="A854" t="s">
        <v>76</v>
      </c>
      <c r="B854" s="9">
        <v>19264</v>
      </c>
      <c r="C854" s="9">
        <v>25831</v>
      </c>
      <c r="D854" s="9">
        <v>30520</v>
      </c>
      <c r="E854" s="9">
        <v>33839</v>
      </c>
      <c r="F854" s="9">
        <v>36095</v>
      </c>
      <c r="G854" s="9">
        <v>37861</v>
      </c>
      <c r="H854" s="9">
        <v>39394</v>
      </c>
      <c r="I854" s="9">
        <v>40797</v>
      </c>
      <c r="J854" s="9">
        <v>42122</v>
      </c>
      <c r="K854" s="9">
        <v>43340</v>
      </c>
      <c r="L854" s="9">
        <v>44430</v>
      </c>
      <c r="M854" s="9">
        <v>45429</v>
      </c>
      <c r="N854" s="9">
        <v>46418</v>
      </c>
      <c r="O854" s="9">
        <v>47391</v>
      </c>
      <c r="P854" s="9">
        <v>48394</v>
      </c>
      <c r="Q854" s="9">
        <v>49361</v>
      </c>
      <c r="R854" s="9">
        <v>50344</v>
      </c>
      <c r="S854" s="9">
        <v>51312</v>
      </c>
      <c r="T854" s="9">
        <v>52312</v>
      </c>
      <c r="U854" s="9">
        <v>53316</v>
      </c>
      <c r="V854" s="9">
        <v>54342</v>
      </c>
      <c r="W854" s="9">
        <v>55318</v>
      </c>
      <c r="X854" s="9">
        <v>56311</v>
      </c>
      <c r="Y854" s="9">
        <v>57280</v>
      </c>
      <c r="Z854" s="9">
        <v>58201</v>
      </c>
      <c r="AA854" s="9">
        <v>59084</v>
      </c>
      <c r="AB854" s="9">
        <v>59980</v>
      </c>
      <c r="AC854" s="9">
        <v>60816</v>
      </c>
      <c r="AD854" s="9">
        <v>61634</v>
      </c>
      <c r="AE854" s="9">
        <v>62465</v>
      </c>
      <c r="AF854" s="9">
        <v>63309</v>
      </c>
    </row>
    <row r="855" spans="1:32" x14ac:dyDescent="0.25">
      <c r="A855" t="s">
        <v>1227</v>
      </c>
    </row>
    <row r="856" spans="1:32" ht="15" customHeight="1" x14ac:dyDescent="0.25">
      <c r="A856" t="s">
        <v>1032</v>
      </c>
    </row>
    <row r="857" spans="1:32" ht="15" customHeight="1" x14ac:dyDescent="0.25">
      <c r="A857" t="s">
        <v>1033</v>
      </c>
    </row>
    <row r="858" spans="1:32" ht="15" customHeight="1" x14ac:dyDescent="0.25">
      <c r="A858" t="s">
        <v>399</v>
      </c>
    </row>
    <row r="859" spans="1:32" ht="15" customHeight="1" x14ac:dyDescent="0.25">
      <c r="A859" t="s">
        <v>79</v>
      </c>
    </row>
    <row r="860" spans="1:32" x14ac:dyDescent="0.25">
      <c r="A860" t="s">
        <v>1228</v>
      </c>
    </row>
    <row r="861" spans="1:32" ht="15" customHeight="1" x14ac:dyDescent="0.25">
      <c r="A861" t="s">
        <v>1034</v>
      </c>
    </row>
    <row r="862" spans="1:32" ht="15" customHeight="1" x14ac:dyDescent="0.25">
      <c r="A862" t="s">
        <v>340</v>
      </c>
      <c r="B862">
        <v>694</v>
      </c>
      <c r="C862">
        <v>808</v>
      </c>
      <c r="D862">
        <v>898</v>
      </c>
      <c r="E862">
        <v>971</v>
      </c>
      <c r="F862">
        <v>1026</v>
      </c>
      <c r="G862">
        <v>1073</v>
      </c>
      <c r="H862">
        <v>1119</v>
      </c>
      <c r="I862">
        <v>1161</v>
      </c>
      <c r="J862">
        <v>1202</v>
      </c>
      <c r="K862">
        <v>1241</v>
      </c>
      <c r="L862">
        <v>1278</v>
      </c>
      <c r="M862">
        <v>1311</v>
      </c>
      <c r="N862">
        <v>1345</v>
      </c>
      <c r="O862">
        <v>1378</v>
      </c>
      <c r="P862">
        <v>1413</v>
      </c>
      <c r="Q862">
        <v>1446</v>
      </c>
      <c r="R862">
        <v>1480</v>
      </c>
      <c r="S862">
        <v>1514</v>
      </c>
      <c r="T862">
        <v>1549</v>
      </c>
      <c r="U862">
        <v>1583</v>
      </c>
      <c r="V862">
        <v>1619</v>
      </c>
      <c r="W862">
        <v>1653</v>
      </c>
      <c r="X862">
        <v>1690</v>
      </c>
      <c r="Y862">
        <v>1724</v>
      </c>
      <c r="Z862">
        <v>1759</v>
      </c>
      <c r="AA862">
        <v>1793</v>
      </c>
      <c r="AB862">
        <v>1825</v>
      </c>
      <c r="AC862">
        <v>1857</v>
      </c>
      <c r="AD862">
        <v>1888</v>
      </c>
      <c r="AE862">
        <v>1920</v>
      </c>
      <c r="AF862">
        <v>1953</v>
      </c>
    </row>
    <row r="863" spans="1:32" x14ac:dyDescent="0.25">
      <c r="A863" t="s">
        <v>1035</v>
      </c>
    </row>
    <row r="864" spans="1:32" ht="15" customHeight="1" x14ac:dyDescent="0.25">
      <c r="A864" t="s">
        <v>1229</v>
      </c>
    </row>
    <row r="865" spans="1:32" ht="15" customHeight="1" x14ac:dyDescent="0.25">
      <c r="A865" t="s">
        <v>1036</v>
      </c>
    </row>
    <row r="866" spans="1:32" ht="15" customHeight="1" x14ac:dyDescent="0.25">
      <c r="A866" t="s">
        <v>341</v>
      </c>
      <c r="B866">
        <v>7891</v>
      </c>
      <c r="C866">
        <v>9515</v>
      </c>
      <c r="D866">
        <v>10756</v>
      </c>
      <c r="E866">
        <v>11729</v>
      </c>
      <c r="F866">
        <v>12455</v>
      </c>
      <c r="G866">
        <v>13068</v>
      </c>
      <c r="H866">
        <v>13633</v>
      </c>
      <c r="I866">
        <v>14157</v>
      </c>
      <c r="J866">
        <v>14660</v>
      </c>
      <c r="K866">
        <v>15120</v>
      </c>
      <c r="L866">
        <v>15539</v>
      </c>
      <c r="M866">
        <v>15926</v>
      </c>
      <c r="N866">
        <v>16310</v>
      </c>
      <c r="O866">
        <v>16684</v>
      </c>
      <c r="P866">
        <v>17068</v>
      </c>
      <c r="Q866">
        <v>17446</v>
      </c>
      <c r="R866">
        <v>17824</v>
      </c>
      <c r="S866">
        <v>18206</v>
      </c>
      <c r="T866">
        <v>18593</v>
      </c>
      <c r="U866">
        <v>18983</v>
      </c>
      <c r="V866">
        <v>19383</v>
      </c>
      <c r="W866">
        <v>19765</v>
      </c>
      <c r="X866">
        <v>20157</v>
      </c>
      <c r="Y866">
        <v>20538</v>
      </c>
      <c r="Z866">
        <v>20941</v>
      </c>
      <c r="AA866">
        <v>21331</v>
      </c>
      <c r="AB866">
        <v>21729</v>
      </c>
      <c r="AC866">
        <v>22104</v>
      </c>
      <c r="AD866">
        <v>22479</v>
      </c>
      <c r="AE866">
        <v>22862</v>
      </c>
      <c r="AF866">
        <v>23250</v>
      </c>
    </row>
    <row r="867" spans="1:32" x14ac:dyDescent="0.25">
      <c r="A867" t="s">
        <v>1037</v>
      </c>
      <c r="B867">
        <v>47131</v>
      </c>
      <c r="C867">
        <v>59024</v>
      </c>
      <c r="D867">
        <v>68819</v>
      </c>
      <c r="E867">
        <v>77448</v>
      </c>
      <c r="F867">
        <v>83429</v>
      </c>
      <c r="G867">
        <v>88039</v>
      </c>
      <c r="H867">
        <v>91998</v>
      </c>
      <c r="I867">
        <v>95558</v>
      </c>
      <c r="J867">
        <v>98868</v>
      </c>
      <c r="K867">
        <v>101897</v>
      </c>
      <c r="L867">
        <v>104663</v>
      </c>
      <c r="M867">
        <v>107234</v>
      </c>
      <c r="N867">
        <v>109761</v>
      </c>
      <c r="O867">
        <v>112258</v>
      </c>
      <c r="P867">
        <v>114811</v>
      </c>
      <c r="Q867">
        <v>117270</v>
      </c>
      <c r="R867">
        <v>119772</v>
      </c>
      <c r="S867">
        <v>122246</v>
      </c>
      <c r="T867">
        <v>124786</v>
      </c>
      <c r="U867">
        <v>127136</v>
      </c>
      <c r="V867">
        <v>129400</v>
      </c>
      <c r="W867">
        <v>131525</v>
      </c>
      <c r="X867">
        <v>133659</v>
      </c>
      <c r="Y867">
        <v>135712</v>
      </c>
      <c r="Z867">
        <v>137767</v>
      </c>
      <c r="AA867">
        <v>139772</v>
      </c>
      <c r="AB867">
        <v>141783</v>
      </c>
      <c r="AC867">
        <v>143665</v>
      </c>
      <c r="AD867">
        <v>145543</v>
      </c>
      <c r="AE867">
        <v>147446</v>
      </c>
      <c r="AF867">
        <v>149376</v>
      </c>
    </row>
    <row r="868" spans="1:32" ht="15" customHeight="1" x14ac:dyDescent="0.25">
      <c r="A868" t="s">
        <v>80</v>
      </c>
      <c r="B868" s="9">
        <v>16235</v>
      </c>
      <c r="C868" s="9">
        <v>19650</v>
      </c>
      <c r="D868" s="9">
        <v>22845</v>
      </c>
      <c r="E868" s="9">
        <v>24797</v>
      </c>
      <c r="F868" s="9">
        <v>26343</v>
      </c>
      <c r="G868" s="9">
        <v>27700</v>
      </c>
      <c r="H868" s="9">
        <v>28961</v>
      </c>
      <c r="I868" s="9">
        <v>30287</v>
      </c>
      <c r="J868" s="9">
        <v>30692</v>
      </c>
      <c r="K868" s="9">
        <v>32202</v>
      </c>
      <c r="L868" s="9">
        <v>33704</v>
      </c>
      <c r="M868" s="9">
        <v>34067</v>
      </c>
      <c r="N868" s="9">
        <v>35557</v>
      </c>
      <c r="O868" s="9">
        <v>35912</v>
      </c>
      <c r="P868" s="9">
        <v>37432</v>
      </c>
      <c r="Q868" s="9">
        <v>37775</v>
      </c>
      <c r="R868" s="9">
        <v>38120</v>
      </c>
      <c r="S868" s="9">
        <v>39637</v>
      </c>
      <c r="T868" s="9">
        <v>39997</v>
      </c>
      <c r="U868" s="9">
        <v>41558</v>
      </c>
      <c r="V868" s="9">
        <v>41920</v>
      </c>
      <c r="W868" s="9">
        <v>43471</v>
      </c>
      <c r="X868" s="9">
        <v>43808</v>
      </c>
      <c r="Y868" s="9">
        <v>45360</v>
      </c>
      <c r="Z868" s="9">
        <v>45673</v>
      </c>
      <c r="AA868" s="9">
        <v>47224</v>
      </c>
      <c r="AB868" s="9">
        <v>47512</v>
      </c>
      <c r="AC868" s="9">
        <v>49022</v>
      </c>
      <c r="AD868" s="9">
        <v>49251</v>
      </c>
      <c r="AE868" s="9">
        <v>49481</v>
      </c>
      <c r="AF868" s="9">
        <v>49712</v>
      </c>
    </row>
    <row r="869" spans="1:32" x14ac:dyDescent="0.25">
      <c r="A869" t="s">
        <v>1038</v>
      </c>
    </row>
    <row r="870" spans="1:32" ht="15" customHeight="1" x14ac:dyDescent="0.25">
      <c r="A870" t="s">
        <v>342</v>
      </c>
      <c r="B870">
        <v>4826</v>
      </c>
      <c r="C870">
        <v>5912</v>
      </c>
      <c r="D870">
        <v>6743</v>
      </c>
      <c r="E870">
        <v>7381</v>
      </c>
      <c r="F870">
        <v>7871</v>
      </c>
      <c r="G870">
        <v>8280</v>
      </c>
      <c r="H870">
        <v>8672</v>
      </c>
      <c r="I870">
        <v>9048</v>
      </c>
      <c r="J870">
        <v>9396</v>
      </c>
      <c r="K870">
        <v>9743</v>
      </c>
      <c r="L870">
        <v>10067</v>
      </c>
      <c r="M870">
        <v>10375</v>
      </c>
      <c r="N870">
        <v>10686</v>
      </c>
      <c r="O870">
        <v>10998</v>
      </c>
      <c r="P870">
        <v>11320</v>
      </c>
      <c r="Q870">
        <v>11655</v>
      </c>
      <c r="R870">
        <v>11982</v>
      </c>
      <c r="S870">
        <v>12328</v>
      </c>
      <c r="T870">
        <v>12669</v>
      </c>
      <c r="U870">
        <v>13033</v>
      </c>
      <c r="V870">
        <v>13404</v>
      </c>
      <c r="W870">
        <v>13766</v>
      </c>
      <c r="X870">
        <v>14155</v>
      </c>
      <c r="Y870">
        <v>14526</v>
      </c>
      <c r="Z870">
        <v>14957</v>
      </c>
      <c r="AA870">
        <v>15381</v>
      </c>
      <c r="AB870">
        <v>15826</v>
      </c>
      <c r="AC870">
        <v>16242</v>
      </c>
      <c r="AD870">
        <v>16679</v>
      </c>
      <c r="AE870">
        <v>17126</v>
      </c>
      <c r="AF870">
        <v>17585</v>
      </c>
    </row>
    <row r="871" spans="1:32" x14ac:dyDescent="0.25">
      <c r="A871" t="s">
        <v>1230</v>
      </c>
      <c r="B871">
        <v>14442</v>
      </c>
      <c r="C871">
        <v>17115</v>
      </c>
      <c r="D871">
        <v>19234</v>
      </c>
      <c r="E871">
        <v>20957</v>
      </c>
      <c r="F871">
        <v>22279</v>
      </c>
      <c r="G871">
        <v>23430</v>
      </c>
      <c r="H871">
        <v>24499</v>
      </c>
      <c r="I871">
        <v>25509</v>
      </c>
      <c r="J871">
        <v>26477</v>
      </c>
      <c r="K871">
        <v>27380</v>
      </c>
      <c r="L871">
        <v>28208</v>
      </c>
      <c r="M871">
        <v>28979</v>
      </c>
      <c r="N871">
        <v>29742</v>
      </c>
      <c r="O871">
        <v>30495</v>
      </c>
      <c r="P871">
        <v>31266</v>
      </c>
      <c r="Q871">
        <v>32020</v>
      </c>
      <c r="R871">
        <v>32787</v>
      </c>
      <c r="S871">
        <v>33547</v>
      </c>
      <c r="T871">
        <v>34331</v>
      </c>
      <c r="U871">
        <v>35119</v>
      </c>
      <c r="V871">
        <v>35920</v>
      </c>
      <c r="W871">
        <v>36697</v>
      </c>
      <c r="X871">
        <v>37484</v>
      </c>
      <c r="Y871">
        <v>38264</v>
      </c>
      <c r="Z871">
        <v>39045</v>
      </c>
      <c r="AA871">
        <v>39819</v>
      </c>
      <c r="AB871">
        <v>40600</v>
      </c>
      <c r="AC871">
        <v>41354</v>
      </c>
      <c r="AD871">
        <v>42115</v>
      </c>
      <c r="AE871">
        <v>42889</v>
      </c>
      <c r="AF871">
        <v>43677</v>
      </c>
    </row>
    <row r="872" spans="1:32" ht="15" customHeight="1" x14ac:dyDescent="0.25">
      <c r="A872" t="s">
        <v>1039</v>
      </c>
    </row>
    <row r="873" spans="1:32" ht="15" customHeight="1" x14ac:dyDescent="0.25">
      <c r="A873" t="s">
        <v>1231</v>
      </c>
    </row>
    <row r="874" spans="1:32" ht="15" customHeight="1" x14ac:dyDescent="0.25">
      <c r="A874" t="s">
        <v>343</v>
      </c>
      <c r="B874">
        <v>112</v>
      </c>
      <c r="C874">
        <v>139</v>
      </c>
      <c r="D874">
        <v>160</v>
      </c>
      <c r="E874">
        <v>176</v>
      </c>
      <c r="F874">
        <v>188</v>
      </c>
      <c r="G874">
        <v>197</v>
      </c>
      <c r="H874">
        <v>205</v>
      </c>
      <c r="I874">
        <v>213</v>
      </c>
      <c r="J874">
        <v>220</v>
      </c>
      <c r="K874">
        <v>227</v>
      </c>
      <c r="L874">
        <v>234</v>
      </c>
      <c r="M874">
        <v>240</v>
      </c>
      <c r="N874">
        <v>246</v>
      </c>
      <c r="O874">
        <v>252</v>
      </c>
      <c r="P874">
        <v>258</v>
      </c>
      <c r="Q874">
        <v>264</v>
      </c>
      <c r="R874">
        <v>270</v>
      </c>
      <c r="S874">
        <v>276</v>
      </c>
      <c r="T874">
        <v>282</v>
      </c>
      <c r="U874">
        <v>288</v>
      </c>
      <c r="V874">
        <v>295</v>
      </c>
      <c r="W874">
        <v>301</v>
      </c>
      <c r="X874">
        <v>307</v>
      </c>
      <c r="Y874">
        <v>313</v>
      </c>
      <c r="Z874">
        <v>319</v>
      </c>
      <c r="AA874">
        <v>325</v>
      </c>
      <c r="AB874">
        <v>332</v>
      </c>
      <c r="AC874">
        <v>338</v>
      </c>
      <c r="AD874">
        <v>343</v>
      </c>
      <c r="AE874">
        <v>350</v>
      </c>
      <c r="AF874">
        <v>356</v>
      </c>
    </row>
    <row r="875" spans="1:32" x14ac:dyDescent="0.25">
      <c r="A875" t="s">
        <v>1232</v>
      </c>
    </row>
    <row r="876" spans="1:32" ht="15" customHeight="1" x14ac:dyDescent="0.25">
      <c r="A876" t="s">
        <v>1040</v>
      </c>
    </row>
    <row r="877" spans="1:32" ht="15" customHeight="1" x14ac:dyDescent="0.25">
      <c r="A877" t="s">
        <v>1041</v>
      </c>
    </row>
    <row r="878" spans="1:32" ht="15" customHeight="1" x14ac:dyDescent="0.25">
      <c r="A878" t="s">
        <v>1042</v>
      </c>
    </row>
    <row r="879" spans="1:32" ht="15" customHeight="1" x14ac:dyDescent="0.25">
      <c r="A879" t="s">
        <v>1233</v>
      </c>
    </row>
    <row r="880" spans="1:32" ht="15" customHeight="1" x14ac:dyDescent="0.25">
      <c r="A880" t="s">
        <v>1234</v>
      </c>
    </row>
    <row r="881" spans="1:32" ht="15" customHeight="1" x14ac:dyDescent="0.25">
      <c r="A881" t="s">
        <v>1043</v>
      </c>
    </row>
    <row r="882" spans="1:32" ht="15" customHeight="1" x14ac:dyDescent="0.25">
      <c r="A882" t="s">
        <v>1235</v>
      </c>
    </row>
    <row r="883" spans="1:32" ht="15" customHeight="1" x14ac:dyDescent="0.25">
      <c r="A883" t="s">
        <v>1044</v>
      </c>
    </row>
    <row r="884" spans="1:32" ht="15" customHeight="1" x14ac:dyDescent="0.25">
      <c r="A884" t="s">
        <v>84</v>
      </c>
    </row>
    <row r="885" spans="1:32" x14ac:dyDescent="0.25">
      <c r="A885" t="s">
        <v>1045</v>
      </c>
    </row>
    <row r="886" spans="1:32" ht="15" customHeight="1" x14ac:dyDescent="0.25">
      <c r="A886" t="s">
        <v>1046</v>
      </c>
    </row>
    <row r="887" spans="1:32" ht="15" customHeight="1" x14ac:dyDescent="0.25">
      <c r="A887" t="s">
        <v>85</v>
      </c>
      <c r="B887" s="9">
        <v>46245</v>
      </c>
      <c r="C887" s="9">
        <v>58695</v>
      </c>
      <c r="D887" s="9">
        <v>68589</v>
      </c>
      <c r="E887" s="9">
        <v>76417</v>
      </c>
      <c r="F887" s="9">
        <v>82595</v>
      </c>
      <c r="G887" s="9">
        <v>87707</v>
      </c>
      <c r="H887" s="9">
        <v>92377</v>
      </c>
      <c r="I887" s="9">
        <v>96768</v>
      </c>
      <c r="J887" s="9">
        <v>101043</v>
      </c>
      <c r="K887" s="9">
        <v>105083</v>
      </c>
      <c r="L887" s="9">
        <v>108915</v>
      </c>
      <c r="M887" s="9">
        <v>112516</v>
      </c>
      <c r="N887" s="9">
        <v>116195</v>
      </c>
      <c r="O887" s="9">
        <v>119825</v>
      </c>
      <c r="P887" s="9">
        <v>123626</v>
      </c>
      <c r="Q887" s="9">
        <v>127344</v>
      </c>
      <c r="R887" s="9">
        <v>131192</v>
      </c>
      <c r="S887" s="9">
        <v>135036</v>
      </c>
      <c r="T887" s="9">
        <v>139056</v>
      </c>
      <c r="U887" s="9">
        <v>143079</v>
      </c>
      <c r="V887" s="9">
        <v>147282</v>
      </c>
      <c r="W887" s="9">
        <v>151364</v>
      </c>
      <c r="X887" s="9">
        <v>155611</v>
      </c>
      <c r="Y887" s="9">
        <v>159796</v>
      </c>
      <c r="Z887" s="9">
        <v>164033</v>
      </c>
      <c r="AA887" s="9">
        <v>168244</v>
      </c>
      <c r="AB887" s="9">
        <v>172634</v>
      </c>
      <c r="AC887" s="9">
        <v>176888</v>
      </c>
      <c r="AD887" s="9">
        <v>181271</v>
      </c>
      <c r="AE887" s="9">
        <v>185768</v>
      </c>
      <c r="AF887" s="9">
        <v>190383</v>
      </c>
    </row>
    <row r="888" spans="1:32" x14ac:dyDescent="0.25">
      <c r="A888" t="s">
        <v>1047</v>
      </c>
    </row>
    <row r="889" spans="1:32" ht="15" customHeight="1" x14ac:dyDescent="0.25">
      <c r="A889" t="s">
        <v>1048</v>
      </c>
    </row>
    <row r="890" spans="1:32" ht="15" customHeight="1" x14ac:dyDescent="0.25">
      <c r="A890" t="s">
        <v>1049</v>
      </c>
    </row>
    <row r="891" spans="1:32" ht="15" customHeight="1" x14ac:dyDescent="0.25">
      <c r="A891" t="s">
        <v>1050</v>
      </c>
    </row>
    <row r="892" spans="1:32" ht="15" customHeight="1" x14ac:dyDescent="0.25">
      <c r="A892" t="s">
        <v>1236</v>
      </c>
    </row>
    <row r="893" spans="1:32" ht="15" customHeight="1" x14ac:dyDescent="0.25">
      <c r="A893" t="s">
        <v>88</v>
      </c>
    </row>
    <row r="894" spans="1:32" x14ac:dyDescent="0.25">
      <c r="A894" t="s">
        <v>1051</v>
      </c>
    </row>
    <row r="895" spans="1:32" ht="15" customHeight="1" x14ac:dyDescent="0.25">
      <c r="A895" t="s">
        <v>1052</v>
      </c>
    </row>
    <row r="896" spans="1:32" ht="15" customHeight="1" x14ac:dyDescent="0.25">
      <c r="A896" t="s">
        <v>1053</v>
      </c>
    </row>
    <row r="897" spans="1:32" ht="15" customHeight="1" x14ac:dyDescent="0.25">
      <c r="A897" t="s">
        <v>1237</v>
      </c>
    </row>
    <row r="898" spans="1:32" ht="15" customHeight="1" x14ac:dyDescent="0.25">
      <c r="A898" t="s">
        <v>1054</v>
      </c>
    </row>
    <row r="899" spans="1:32" ht="15" customHeight="1" x14ac:dyDescent="0.25">
      <c r="A899" t="s">
        <v>89</v>
      </c>
    </row>
    <row r="900" spans="1:32" x14ac:dyDescent="0.25">
      <c r="A900" t="s">
        <v>344</v>
      </c>
      <c r="B900">
        <v>15233</v>
      </c>
      <c r="C900">
        <v>18307</v>
      </c>
      <c r="D900">
        <v>20684</v>
      </c>
      <c r="E900">
        <v>22569</v>
      </c>
      <c r="F900">
        <v>24004</v>
      </c>
      <c r="G900">
        <v>25228</v>
      </c>
      <c r="H900">
        <v>26360</v>
      </c>
      <c r="I900">
        <v>27432</v>
      </c>
      <c r="J900">
        <v>28472</v>
      </c>
      <c r="K900">
        <v>29428</v>
      </c>
      <c r="L900">
        <v>30317</v>
      </c>
      <c r="M900">
        <v>31140</v>
      </c>
      <c r="N900">
        <v>31958</v>
      </c>
      <c r="O900">
        <v>32774</v>
      </c>
      <c r="P900">
        <v>33603</v>
      </c>
      <c r="Q900">
        <v>34415</v>
      </c>
      <c r="R900">
        <v>35242</v>
      </c>
      <c r="S900">
        <v>36065</v>
      </c>
      <c r="T900">
        <v>36919</v>
      </c>
      <c r="U900">
        <v>37768</v>
      </c>
      <c r="V900">
        <v>38640</v>
      </c>
      <c r="W900">
        <v>39484</v>
      </c>
      <c r="X900">
        <v>40337</v>
      </c>
      <c r="Y900">
        <v>41187</v>
      </c>
      <c r="Z900">
        <v>42026</v>
      </c>
      <c r="AA900">
        <v>42846</v>
      </c>
      <c r="AB900">
        <v>43668</v>
      </c>
      <c r="AC900">
        <v>44467</v>
      </c>
      <c r="AD900">
        <v>45263</v>
      </c>
      <c r="AE900">
        <v>46073</v>
      </c>
      <c r="AF900">
        <v>46897</v>
      </c>
    </row>
    <row r="901" spans="1:32" x14ac:dyDescent="0.25">
      <c r="A901" t="s">
        <v>1055</v>
      </c>
    </row>
    <row r="902" spans="1:32" ht="15" customHeight="1" x14ac:dyDescent="0.25">
      <c r="A902" t="s">
        <v>1056</v>
      </c>
      <c r="B902">
        <v>8454</v>
      </c>
      <c r="C902">
        <v>10004</v>
      </c>
      <c r="D902">
        <v>11206</v>
      </c>
      <c r="E902">
        <v>12153</v>
      </c>
      <c r="F902">
        <v>12852</v>
      </c>
      <c r="G902">
        <v>13443</v>
      </c>
      <c r="H902">
        <v>13980</v>
      </c>
      <c r="I902">
        <v>14502</v>
      </c>
      <c r="J902">
        <v>15024</v>
      </c>
      <c r="K902">
        <v>15523</v>
      </c>
      <c r="L902">
        <v>15985</v>
      </c>
      <c r="M902">
        <v>16417</v>
      </c>
      <c r="N902">
        <v>16847</v>
      </c>
      <c r="O902">
        <v>17273</v>
      </c>
      <c r="P902">
        <v>17708</v>
      </c>
      <c r="Q902">
        <v>18135</v>
      </c>
      <c r="R902">
        <v>18568</v>
      </c>
      <c r="S902">
        <v>18997</v>
      </c>
      <c r="T902">
        <v>19441</v>
      </c>
      <c r="U902">
        <v>19889</v>
      </c>
      <c r="V902">
        <v>20343</v>
      </c>
      <c r="W902">
        <v>20784</v>
      </c>
      <c r="X902">
        <v>21233</v>
      </c>
      <c r="Y902">
        <v>21676</v>
      </c>
      <c r="Z902">
        <v>22120</v>
      </c>
      <c r="AA902">
        <v>22560</v>
      </c>
      <c r="AB902">
        <v>23006</v>
      </c>
      <c r="AC902">
        <v>23435</v>
      </c>
      <c r="AD902">
        <v>23864</v>
      </c>
      <c r="AE902">
        <v>24302</v>
      </c>
      <c r="AF902">
        <v>24748</v>
      </c>
    </row>
    <row r="903" spans="1:32" ht="15" customHeight="1" x14ac:dyDescent="0.25">
      <c r="A903" t="s">
        <v>1238</v>
      </c>
    </row>
    <row r="904" spans="1:32" ht="15" customHeight="1" x14ac:dyDescent="0.25">
      <c r="A904" t="s">
        <v>1057</v>
      </c>
    </row>
    <row r="905" spans="1:32" ht="15" customHeight="1" x14ac:dyDescent="0.25">
      <c r="A905" t="s">
        <v>1239</v>
      </c>
    </row>
    <row r="906" spans="1:32" ht="15" customHeight="1" x14ac:dyDescent="0.25">
      <c r="A906" t="s">
        <v>1058</v>
      </c>
    </row>
    <row r="907" spans="1:32" ht="15" customHeight="1" x14ac:dyDescent="0.25">
      <c r="A907" t="s">
        <v>1059</v>
      </c>
    </row>
    <row r="908" spans="1:32" ht="15" customHeight="1" x14ac:dyDescent="0.25">
      <c r="A908" t="s">
        <v>1060</v>
      </c>
    </row>
    <row r="909" spans="1:32" ht="15" customHeight="1" x14ac:dyDescent="0.25">
      <c r="A909" t="s">
        <v>1240</v>
      </c>
    </row>
    <row r="910" spans="1:32" ht="15" customHeight="1" x14ac:dyDescent="0.25">
      <c r="A910" t="s">
        <v>1061</v>
      </c>
    </row>
    <row r="911" spans="1:32" ht="15" customHeight="1" x14ac:dyDescent="0.25">
      <c r="A911" t="s">
        <v>1062</v>
      </c>
    </row>
    <row r="912" spans="1:32" ht="15" customHeight="1" x14ac:dyDescent="0.25">
      <c r="A912" t="s">
        <v>1241</v>
      </c>
      <c r="B912">
        <v>2320</v>
      </c>
      <c r="C912">
        <v>2857</v>
      </c>
      <c r="D912">
        <v>3385</v>
      </c>
      <c r="E912">
        <v>3876</v>
      </c>
      <c r="F912">
        <v>4398</v>
      </c>
      <c r="G912">
        <v>4751</v>
      </c>
      <c r="H912">
        <v>5047</v>
      </c>
      <c r="I912">
        <v>5299</v>
      </c>
      <c r="J912">
        <v>5558</v>
      </c>
      <c r="K912">
        <v>5789</v>
      </c>
      <c r="L912">
        <v>6028</v>
      </c>
      <c r="M912">
        <v>6233</v>
      </c>
      <c r="N912">
        <v>6466</v>
      </c>
      <c r="O912">
        <v>6672</v>
      </c>
      <c r="P912">
        <v>6910</v>
      </c>
      <c r="Q912">
        <v>7120</v>
      </c>
      <c r="R912">
        <v>7358</v>
      </c>
      <c r="S912">
        <v>7575</v>
      </c>
      <c r="T912">
        <v>7823</v>
      </c>
      <c r="U912">
        <v>8033</v>
      </c>
      <c r="V912">
        <v>8288</v>
      </c>
      <c r="W912">
        <v>8506</v>
      </c>
      <c r="X912">
        <v>8767</v>
      </c>
      <c r="Y912">
        <v>8992</v>
      </c>
      <c r="Z912">
        <v>9218</v>
      </c>
      <c r="AA912">
        <v>9408</v>
      </c>
      <c r="AB912">
        <v>9640</v>
      </c>
      <c r="AC912">
        <v>9828</v>
      </c>
      <c r="AD912">
        <v>10055</v>
      </c>
      <c r="AE912">
        <v>10287</v>
      </c>
      <c r="AF912">
        <v>10525</v>
      </c>
    </row>
    <row r="913" spans="1:32" ht="15" customHeight="1" x14ac:dyDescent="0.25">
      <c r="A913" t="s">
        <v>1063</v>
      </c>
    </row>
    <row r="914" spans="1:32" ht="15" customHeight="1" x14ac:dyDescent="0.25">
      <c r="A914" t="s">
        <v>1064</v>
      </c>
    </row>
    <row r="915" spans="1:32" ht="15" customHeight="1" x14ac:dyDescent="0.25">
      <c r="A915" t="s">
        <v>1065</v>
      </c>
    </row>
    <row r="916" spans="1:32" ht="15" customHeight="1" x14ac:dyDescent="0.25">
      <c r="A916" t="s">
        <v>1242</v>
      </c>
    </row>
    <row r="917" spans="1:32" ht="15" customHeight="1" x14ac:dyDescent="0.25">
      <c r="A917" t="s">
        <v>1066</v>
      </c>
    </row>
    <row r="918" spans="1:32" ht="15" customHeight="1" x14ac:dyDescent="0.25">
      <c r="A918" t="s">
        <v>90</v>
      </c>
    </row>
    <row r="919" spans="1:32" x14ac:dyDescent="0.25">
      <c r="A919" t="s">
        <v>1067</v>
      </c>
      <c r="B919">
        <v>13915</v>
      </c>
      <c r="C919">
        <v>16600</v>
      </c>
      <c r="D919">
        <v>18696</v>
      </c>
      <c r="E919">
        <v>20373</v>
      </c>
      <c r="F919">
        <v>21650</v>
      </c>
      <c r="G919">
        <v>22747</v>
      </c>
      <c r="H919">
        <v>23768</v>
      </c>
      <c r="I919">
        <v>24739</v>
      </c>
      <c r="J919">
        <v>25696</v>
      </c>
      <c r="K919">
        <v>26595</v>
      </c>
      <c r="L919">
        <v>27437</v>
      </c>
      <c r="M919">
        <v>28222</v>
      </c>
      <c r="N919">
        <v>29015</v>
      </c>
      <c r="O919">
        <v>29803</v>
      </c>
      <c r="P919">
        <v>30621</v>
      </c>
      <c r="Q919">
        <v>31422</v>
      </c>
      <c r="R919">
        <v>32245</v>
      </c>
      <c r="S919">
        <v>33074</v>
      </c>
      <c r="T919">
        <v>33933</v>
      </c>
      <c r="U919">
        <v>34801</v>
      </c>
      <c r="V919">
        <v>35689</v>
      </c>
      <c r="W919">
        <v>36562</v>
      </c>
      <c r="X919">
        <v>37457</v>
      </c>
      <c r="Y919">
        <v>38342</v>
      </c>
      <c r="Z919">
        <v>39252</v>
      </c>
      <c r="AA919">
        <v>40169</v>
      </c>
      <c r="AB919">
        <v>41110</v>
      </c>
      <c r="AC919">
        <v>42028</v>
      </c>
      <c r="AD919">
        <v>42956</v>
      </c>
      <c r="AE919">
        <v>43905</v>
      </c>
      <c r="AF919">
        <v>44876</v>
      </c>
    </row>
    <row r="920" spans="1:32" ht="15" customHeight="1" x14ac:dyDescent="0.25">
      <c r="A920" t="s">
        <v>1068</v>
      </c>
    </row>
    <row r="921" spans="1:32" ht="15" customHeight="1" x14ac:dyDescent="0.25">
      <c r="A921" t="s">
        <v>1069</v>
      </c>
    </row>
    <row r="922" spans="1:32" ht="15" customHeight="1" x14ac:dyDescent="0.25">
      <c r="A922" t="s">
        <v>1070</v>
      </c>
    </row>
    <row r="923" spans="1:32" ht="15" customHeight="1" x14ac:dyDescent="0.25">
      <c r="A923" t="s">
        <v>1071</v>
      </c>
    </row>
    <row r="924" spans="1:32" ht="15" customHeight="1" x14ac:dyDescent="0.25">
      <c r="A924" t="s">
        <v>1072</v>
      </c>
    </row>
    <row r="925" spans="1:32" ht="15" customHeight="1" x14ac:dyDescent="0.25">
      <c r="A925" t="s">
        <v>1073</v>
      </c>
    </row>
    <row r="926" spans="1:32" ht="15" customHeight="1" x14ac:dyDescent="0.25">
      <c r="A926" t="s">
        <v>1074</v>
      </c>
    </row>
    <row r="927" spans="1:32" ht="15" customHeight="1" x14ac:dyDescent="0.25">
      <c r="A927" t="s">
        <v>1075</v>
      </c>
    </row>
    <row r="928" spans="1:32" ht="15" customHeight="1" x14ac:dyDescent="0.25">
      <c r="A928" t="s">
        <v>1076</v>
      </c>
    </row>
    <row r="929" spans="1:1" ht="15" customHeight="1" x14ac:dyDescent="0.25">
      <c r="A929" t="s">
        <v>1077</v>
      </c>
    </row>
    <row r="930" spans="1:1" ht="15" customHeight="1" x14ac:dyDescent="0.25">
      <c r="A930" t="s">
        <v>1078</v>
      </c>
    </row>
    <row r="931" spans="1:1" ht="15" customHeight="1" x14ac:dyDescent="0.25">
      <c r="A931" t="s">
        <v>1079</v>
      </c>
    </row>
    <row r="932" spans="1:1" ht="15" customHeight="1" x14ac:dyDescent="0.25">
      <c r="A932" t="s">
        <v>1080</v>
      </c>
    </row>
    <row r="933" spans="1:1" ht="15" customHeight="1" x14ac:dyDescent="0.25">
      <c r="A933" t="s">
        <v>1081</v>
      </c>
    </row>
    <row r="934" spans="1:1" ht="15" customHeight="1" x14ac:dyDescent="0.25">
      <c r="A934" t="s">
        <v>1082</v>
      </c>
    </row>
    <row r="935" spans="1:1" ht="15" customHeight="1" x14ac:dyDescent="0.25">
      <c r="A935" t="s">
        <v>1083</v>
      </c>
    </row>
    <row r="936" spans="1:1" ht="15" customHeight="1" x14ac:dyDescent="0.25">
      <c r="A936" t="s">
        <v>1084</v>
      </c>
    </row>
    <row r="937" spans="1:1" ht="15" customHeight="1" x14ac:dyDescent="0.25">
      <c r="A937" t="s">
        <v>1085</v>
      </c>
    </row>
    <row r="938" spans="1:1" ht="15" customHeight="1" x14ac:dyDescent="0.25">
      <c r="A938" t="s">
        <v>1086</v>
      </c>
    </row>
    <row r="939" spans="1:1" ht="15" customHeight="1" x14ac:dyDescent="0.25">
      <c r="A939" t="s">
        <v>1087</v>
      </c>
    </row>
    <row r="940" spans="1:1" ht="15" customHeight="1" x14ac:dyDescent="0.25">
      <c r="A940" t="s">
        <v>1088</v>
      </c>
    </row>
    <row r="941" spans="1:1" ht="15" customHeight="1" x14ac:dyDescent="0.25">
      <c r="A941" t="s">
        <v>1089</v>
      </c>
    </row>
    <row r="942" spans="1:1" ht="15" customHeight="1" x14ac:dyDescent="0.25">
      <c r="A942" t="s">
        <v>91</v>
      </c>
    </row>
  </sheetData>
  <sheetProtection selectLockedCells="1"/>
  <autoFilter ref="A1:XED944" xr:uid="{00000000-0009-0000-0000-000007000000}"/>
  <conditionalFormatting sqref="E3:E943 E945:E950">
    <cfRule type="expression" dxfId="1" priority="1">
      <formula>E3=CHAR(251)</formula>
    </cfRule>
    <cfRule type="expression" dxfId="0" priority="2">
      <formula>E3=CHAR(252)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EAC94-4205-46A6-A89B-BBA98A152EF6}">
  <sheetPr>
    <tabColor theme="3" tint="0.749992370372631"/>
  </sheetPr>
  <dimension ref="A1:AG25"/>
  <sheetViews>
    <sheetView tabSelected="1" topLeftCell="E1" workbookViewId="0"/>
  </sheetViews>
  <sheetFormatPr defaultRowHeight="15" x14ac:dyDescent="0.25"/>
  <cols>
    <col min="2" max="2" width="13.28515625" style="5" bestFit="1" customWidth="1"/>
  </cols>
  <sheetData>
    <row r="1" spans="1:33" x14ac:dyDescent="0.25">
      <c r="A1" t="s">
        <v>1257</v>
      </c>
    </row>
    <row r="2" spans="1:33" s="4" customFormat="1" x14ac:dyDescent="0.25">
      <c r="A2" s="4" t="s">
        <v>0</v>
      </c>
      <c r="B2" s="5" t="s">
        <v>1258</v>
      </c>
      <c r="C2" s="4">
        <v>2022</v>
      </c>
      <c r="D2" s="4">
        <v>2023</v>
      </c>
      <c r="E2" s="4">
        <v>2024</v>
      </c>
      <c r="F2" s="4">
        <v>2025</v>
      </c>
      <c r="G2" s="4">
        <v>2026</v>
      </c>
      <c r="H2" s="4">
        <v>2027</v>
      </c>
      <c r="I2" s="4">
        <v>2028</v>
      </c>
      <c r="J2" s="4">
        <v>2029</v>
      </c>
      <c r="K2" s="4">
        <v>2030</v>
      </c>
      <c r="L2" s="4">
        <v>2031</v>
      </c>
      <c r="M2" s="4">
        <v>2032</v>
      </c>
      <c r="N2" s="4">
        <v>2033</v>
      </c>
      <c r="O2" s="4">
        <v>2034</v>
      </c>
      <c r="P2" s="4">
        <v>2035</v>
      </c>
      <c r="Q2" s="4">
        <v>2036</v>
      </c>
      <c r="R2" s="4">
        <v>2037</v>
      </c>
      <c r="S2" s="4">
        <v>2038</v>
      </c>
      <c r="T2" s="4">
        <v>2039</v>
      </c>
      <c r="U2" s="4">
        <v>2040</v>
      </c>
      <c r="V2" s="4">
        <v>2041</v>
      </c>
      <c r="W2" s="4">
        <v>2042</v>
      </c>
      <c r="X2" s="4">
        <v>2043</v>
      </c>
      <c r="Y2" s="4">
        <v>2044</v>
      </c>
      <c r="Z2" s="4">
        <v>2045</v>
      </c>
      <c r="AA2" s="4">
        <v>2046</v>
      </c>
      <c r="AB2" s="4">
        <v>2047</v>
      </c>
      <c r="AC2" s="4">
        <v>2048</v>
      </c>
      <c r="AD2" s="4">
        <v>2049</v>
      </c>
      <c r="AE2" s="4">
        <v>2050</v>
      </c>
      <c r="AF2" s="4">
        <v>2051</v>
      </c>
      <c r="AG2" s="4">
        <v>2052</v>
      </c>
    </row>
    <row r="3" spans="1:33" x14ac:dyDescent="0.25">
      <c r="A3" t="s">
        <v>36</v>
      </c>
      <c r="B3" s="5">
        <v>3</v>
      </c>
      <c r="C3" s="9">
        <v>16889</v>
      </c>
      <c r="D3" s="9">
        <v>22897</v>
      </c>
      <c r="E3" s="9">
        <v>27199</v>
      </c>
      <c r="F3" s="9">
        <v>30232</v>
      </c>
      <c r="G3" s="9">
        <v>32294</v>
      </c>
      <c r="H3" s="9">
        <v>33912</v>
      </c>
      <c r="I3" s="9">
        <v>35314</v>
      </c>
      <c r="J3" s="9">
        <v>36587</v>
      </c>
      <c r="K3" s="9">
        <v>37770</v>
      </c>
      <c r="L3" s="9">
        <v>38845</v>
      </c>
      <c r="M3" s="9">
        <v>39808</v>
      </c>
      <c r="N3" s="9">
        <v>40677</v>
      </c>
      <c r="O3" s="9">
        <v>41537</v>
      </c>
      <c r="P3" s="9">
        <v>42377</v>
      </c>
      <c r="Q3" s="9">
        <v>43239</v>
      </c>
      <c r="R3" s="9">
        <v>44069</v>
      </c>
      <c r="S3" s="9">
        <v>44905</v>
      </c>
      <c r="T3" s="9">
        <v>45733</v>
      </c>
      <c r="U3" s="9">
        <v>46583</v>
      </c>
      <c r="V3" s="9">
        <v>47436</v>
      </c>
      <c r="W3" s="9">
        <v>48299</v>
      </c>
      <c r="X3" s="9">
        <v>49119</v>
      </c>
      <c r="Y3" s="9">
        <v>49946</v>
      </c>
      <c r="Z3" s="9">
        <v>50750</v>
      </c>
      <c r="AA3" s="9">
        <v>51525</v>
      </c>
      <c r="AB3" s="9">
        <v>52270</v>
      </c>
      <c r="AC3" s="9">
        <v>53010</v>
      </c>
      <c r="AD3" s="9">
        <v>53703</v>
      </c>
      <c r="AE3" s="9">
        <v>54389</v>
      </c>
      <c r="AF3" s="9">
        <v>55090</v>
      </c>
      <c r="AG3" s="9">
        <v>55806</v>
      </c>
    </row>
    <row r="4" spans="1:33" x14ac:dyDescent="0.25">
      <c r="A4" t="s">
        <v>39</v>
      </c>
      <c r="B4" s="5">
        <v>3</v>
      </c>
      <c r="C4" s="9">
        <v>21099</v>
      </c>
      <c r="D4" s="9">
        <v>25525</v>
      </c>
      <c r="E4" s="9">
        <v>28932</v>
      </c>
      <c r="F4" s="9">
        <v>31608</v>
      </c>
      <c r="G4" s="9">
        <v>33605</v>
      </c>
      <c r="H4" s="9">
        <v>35302</v>
      </c>
      <c r="I4" s="9">
        <v>36855</v>
      </c>
      <c r="J4" s="9">
        <v>38326</v>
      </c>
      <c r="K4" s="9">
        <v>39754</v>
      </c>
      <c r="L4" s="9">
        <v>41096</v>
      </c>
      <c r="M4" s="9">
        <v>42329</v>
      </c>
      <c r="N4" s="9">
        <v>43485</v>
      </c>
      <c r="O4" s="9">
        <v>44636</v>
      </c>
      <c r="P4" s="9">
        <v>45782</v>
      </c>
      <c r="Q4" s="9">
        <v>46956</v>
      </c>
      <c r="R4" s="9">
        <v>48117</v>
      </c>
      <c r="S4" s="9">
        <v>49295</v>
      </c>
      <c r="T4" s="9">
        <v>50478</v>
      </c>
      <c r="U4" s="9">
        <v>51697</v>
      </c>
      <c r="V4" s="9">
        <v>52936</v>
      </c>
      <c r="W4" s="9">
        <v>54195</v>
      </c>
      <c r="X4" s="9">
        <v>55431</v>
      </c>
      <c r="Y4" s="9">
        <v>56685</v>
      </c>
      <c r="Z4" s="9">
        <v>57936</v>
      </c>
      <c r="AA4" s="9">
        <v>59209</v>
      </c>
      <c r="AB4" s="9">
        <v>60492</v>
      </c>
      <c r="AC4" s="9">
        <v>61790</v>
      </c>
      <c r="AD4" s="9">
        <v>63060</v>
      </c>
      <c r="AE4" s="9">
        <v>64337</v>
      </c>
      <c r="AF4" s="9">
        <v>65641</v>
      </c>
      <c r="AG4" s="9">
        <v>66972</v>
      </c>
    </row>
    <row r="5" spans="1:33" x14ac:dyDescent="0.25">
      <c r="A5" t="s">
        <v>43</v>
      </c>
      <c r="B5" s="5">
        <v>1</v>
      </c>
      <c r="C5" s="9">
        <v>1182</v>
      </c>
      <c r="D5" s="9">
        <v>1501</v>
      </c>
      <c r="E5" s="9">
        <v>1734</v>
      </c>
      <c r="F5" s="9">
        <v>1910</v>
      </c>
      <c r="G5" s="9">
        <v>2038</v>
      </c>
      <c r="H5" s="9">
        <v>2143</v>
      </c>
      <c r="I5" s="9">
        <v>2240</v>
      </c>
      <c r="J5" s="9">
        <v>2330</v>
      </c>
      <c r="K5" s="9">
        <v>2416</v>
      </c>
      <c r="L5" s="9">
        <v>2494</v>
      </c>
      <c r="M5" s="9">
        <v>2566</v>
      </c>
      <c r="N5" s="9">
        <v>2633</v>
      </c>
      <c r="O5" s="9">
        <v>2699</v>
      </c>
      <c r="P5" s="9">
        <v>2764</v>
      </c>
      <c r="Q5" s="9">
        <v>2830</v>
      </c>
      <c r="R5" s="9">
        <v>2896</v>
      </c>
      <c r="S5" s="9">
        <v>2962</v>
      </c>
      <c r="T5" s="9">
        <v>3026</v>
      </c>
      <c r="U5" s="9">
        <v>3093</v>
      </c>
      <c r="V5" s="9">
        <v>3160</v>
      </c>
      <c r="W5" s="9">
        <v>3229</v>
      </c>
      <c r="X5" s="9">
        <v>3293</v>
      </c>
      <c r="Y5" s="9">
        <v>3358</v>
      </c>
      <c r="Z5" s="9">
        <v>3422</v>
      </c>
      <c r="AA5" s="9">
        <v>3483</v>
      </c>
      <c r="AB5" s="9">
        <v>3541</v>
      </c>
      <c r="AC5" s="9">
        <v>3599</v>
      </c>
      <c r="AD5" s="9">
        <v>3654</v>
      </c>
      <c r="AE5" s="9">
        <v>3708</v>
      </c>
      <c r="AF5" s="9">
        <v>3762</v>
      </c>
      <c r="AG5" s="9">
        <v>3817</v>
      </c>
    </row>
    <row r="6" spans="1:33" x14ac:dyDescent="0.25">
      <c r="A6" t="s">
        <v>317</v>
      </c>
      <c r="B6" s="5">
        <v>4</v>
      </c>
      <c r="C6" s="9">
        <v>15688</v>
      </c>
      <c r="D6" s="9">
        <v>19240</v>
      </c>
      <c r="E6" s="9">
        <v>21939</v>
      </c>
      <c r="F6" s="9">
        <v>24035</v>
      </c>
      <c r="G6" s="9">
        <v>25590</v>
      </c>
      <c r="H6" s="9">
        <v>26901</v>
      </c>
      <c r="I6" s="9">
        <v>28098</v>
      </c>
      <c r="J6" s="9">
        <v>29226</v>
      </c>
      <c r="K6" s="9">
        <v>30311</v>
      </c>
      <c r="L6" s="9">
        <v>31324</v>
      </c>
      <c r="M6" s="9">
        <v>32255</v>
      </c>
      <c r="N6" s="9">
        <v>33120</v>
      </c>
      <c r="O6" s="9">
        <v>33976</v>
      </c>
      <c r="P6" s="9">
        <v>34827</v>
      </c>
      <c r="Q6" s="9">
        <v>35696</v>
      </c>
      <c r="R6" s="9">
        <v>36549</v>
      </c>
      <c r="S6" s="9">
        <v>37410</v>
      </c>
      <c r="T6" s="9">
        <v>38271</v>
      </c>
      <c r="U6" s="9">
        <v>39154</v>
      </c>
      <c r="V6" s="9">
        <v>40048</v>
      </c>
      <c r="W6" s="9">
        <v>40955</v>
      </c>
      <c r="X6" s="9">
        <v>41836</v>
      </c>
      <c r="Y6" s="9">
        <v>42728</v>
      </c>
      <c r="Z6" s="9">
        <v>43614</v>
      </c>
      <c r="AA6" s="9">
        <v>44500</v>
      </c>
      <c r="AB6" s="9">
        <v>45375</v>
      </c>
      <c r="AC6" s="9">
        <v>46254</v>
      </c>
      <c r="AD6" s="9">
        <v>47103</v>
      </c>
      <c r="AE6" s="9">
        <v>47954</v>
      </c>
      <c r="AF6" s="9">
        <v>48819</v>
      </c>
      <c r="AG6" s="9">
        <v>49700</v>
      </c>
    </row>
    <row r="7" spans="1:33" x14ac:dyDescent="0.25">
      <c r="A7" t="s">
        <v>47</v>
      </c>
      <c r="B7" s="5">
        <v>3</v>
      </c>
      <c r="C7" s="9">
        <v>42304</v>
      </c>
      <c r="D7" s="9">
        <v>51486</v>
      </c>
      <c r="E7" s="9">
        <v>60626</v>
      </c>
      <c r="F7" s="9">
        <v>69162</v>
      </c>
      <c r="G7" s="9">
        <v>78328</v>
      </c>
      <c r="H7" s="9">
        <v>84351</v>
      </c>
      <c r="I7" s="9">
        <v>89226</v>
      </c>
      <c r="J7" s="9">
        <v>93294</v>
      </c>
      <c r="K7" s="9">
        <v>97576</v>
      </c>
      <c r="L7" s="9">
        <v>101281</v>
      </c>
      <c r="M7" s="9">
        <v>105113</v>
      </c>
      <c r="N7" s="9">
        <v>108345</v>
      </c>
      <c r="O7" s="9">
        <v>111974</v>
      </c>
      <c r="P7" s="9">
        <v>115154</v>
      </c>
      <c r="Q7" s="9">
        <v>118924</v>
      </c>
      <c r="R7" s="9">
        <v>122173</v>
      </c>
      <c r="S7" s="9">
        <v>125921</v>
      </c>
      <c r="T7" s="9">
        <v>129158</v>
      </c>
      <c r="U7" s="9">
        <v>133042</v>
      </c>
      <c r="V7" s="9">
        <v>136270</v>
      </c>
      <c r="W7" s="9">
        <v>140156</v>
      </c>
      <c r="X7" s="9">
        <v>143510</v>
      </c>
      <c r="Y7" s="9">
        <v>147434</v>
      </c>
      <c r="Z7" s="9">
        <v>150887</v>
      </c>
      <c r="AA7" s="9">
        <v>154444</v>
      </c>
      <c r="AB7" s="9">
        <v>157501</v>
      </c>
      <c r="AC7" s="9">
        <v>161211</v>
      </c>
      <c r="AD7" s="9">
        <v>164191</v>
      </c>
      <c r="AE7" s="9">
        <v>167805</v>
      </c>
      <c r="AF7" s="9">
        <v>171499</v>
      </c>
      <c r="AG7" s="9">
        <v>175274</v>
      </c>
    </row>
    <row r="8" spans="1:33" x14ac:dyDescent="0.25">
      <c r="A8" t="s">
        <v>321</v>
      </c>
      <c r="B8" s="5">
        <v>3</v>
      </c>
      <c r="C8" s="9">
        <v>149240</v>
      </c>
      <c r="D8" s="9">
        <v>184951</v>
      </c>
      <c r="E8" s="9">
        <v>210938</v>
      </c>
      <c r="F8" s="9">
        <v>230296</v>
      </c>
      <c r="G8" s="9">
        <v>244059</v>
      </c>
      <c r="H8" s="9">
        <v>255324</v>
      </c>
      <c r="I8" s="9">
        <v>265382</v>
      </c>
      <c r="J8" s="9">
        <v>274597</v>
      </c>
      <c r="K8" s="9">
        <v>283244</v>
      </c>
      <c r="L8" s="9">
        <v>291093</v>
      </c>
      <c r="M8" s="9">
        <v>298075</v>
      </c>
      <c r="N8" s="9">
        <v>304378</v>
      </c>
      <c r="O8" s="9">
        <v>310559</v>
      </c>
      <c r="P8" s="9">
        <v>316589</v>
      </c>
      <c r="Q8" s="9">
        <v>322736</v>
      </c>
      <c r="R8" s="9">
        <v>328637</v>
      </c>
      <c r="S8" s="9">
        <v>334601</v>
      </c>
      <c r="T8" s="9">
        <v>340429</v>
      </c>
      <c r="U8" s="9">
        <v>346408</v>
      </c>
      <c r="V8" s="9">
        <v>352380</v>
      </c>
      <c r="W8" s="9">
        <v>358361</v>
      </c>
      <c r="X8" s="9">
        <v>364019</v>
      </c>
      <c r="Y8" s="9">
        <v>369701</v>
      </c>
      <c r="Z8" s="9">
        <v>375175</v>
      </c>
      <c r="AA8" s="9">
        <v>380342</v>
      </c>
      <c r="AB8" s="9">
        <v>385230</v>
      </c>
      <c r="AC8" s="9">
        <v>390044</v>
      </c>
      <c r="AD8" s="9">
        <v>394460</v>
      </c>
      <c r="AE8" s="9">
        <v>398790</v>
      </c>
      <c r="AF8" s="9">
        <v>403170</v>
      </c>
      <c r="AG8" s="9">
        <v>407604</v>
      </c>
    </row>
    <row r="9" spans="1:33" x14ac:dyDescent="0.25">
      <c r="A9" t="s">
        <v>50</v>
      </c>
      <c r="B9" s="5">
        <v>1</v>
      </c>
      <c r="C9" s="9">
        <v>4052</v>
      </c>
      <c r="D9" s="9">
        <v>4961</v>
      </c>
      <c r="E9" s="9">
        <v>5677</v>
      </c>
      <c r="F9" s="9">
        <v>6262</v>
      </c>
      <c r="G9" s="9">
        <v>6713</v>
      </c>
      <c r="H9" s="9">
        <v>7106</v>
      </c>
      <c r="I9" s="9">
        <v>7484</v>
      </c>
      <c r="J9" s="9">
        <v>7844</v>
      </c>
      <c r="K9" s="9">
        <v>8187</v>
      </c>
      <c r="L9" s="9">
        <v>8524</v>
      </c>
      <c r="M9" s="9">
        <v>8845</v>
      </c>
      <c r="N9" s="9">
        <v>9132</v>
      </c>
      <c r="O9" s="9">
        <v>9443</v>
      </c>
      <c r="P9" s="9">
        <v>9746</v>
      </c>
      <c r="Q9" s="9">
        <v>10049</v>
      </c>
      <c r="R9" s="9">
        <v>10353</v>
      </c>
      <c r="S9" s="9">
        <v>10674</v>
      </c>
      <c r="T9" s="9">
        <v>11001</v>
      </c>
      <c r="U9" s="9">
        <v>11326</v>
      </c>
      <c r="V9" s="9">
        <v>11656</v>
      </c>
      <c r="W9" s="9">
        <v>12003</v>
      </c>
      <c r="X9" s="9">
        <v>12342</v>
      </c>
      <c r="Y9" s="9">
        <v>12671</v>
      </c>
      <c r="Z9" s="9">
        <v>13015</v>
      </c>
      <c r="AA9" s="9">
        <v>13325</v>
      </c>
      <c r="AB9" s="9">
        <v>13645</v>
      </c>
      <c r="AC9" s="9">
        <v>13948</v>
      </c>
      <c r="AD9" s="9">
        <v>14242</v>
      </c>
      <c r="AE9" s="9">
        <v>14539</v>
      </c>
      <c r="AF9" s="9">
        <v>14842</v>
      </c>
      <c r="AG9" s="9">
        <v>15150</v>
      </c>
    </row>
    <row r="10" spans="1:33" x14ac:dyDescent="0.25">
      <c r="A10" t="s">
        <v>53</v>
      </c>
      <c r="B10" s="5">
        <v>3</v>
      </c>
      <c r="C10" s="9">
        <v>6024</v>
      </c>
      <c r="D10" s="9">
        <v>7035</v>
      </c>
      <c r="E10" s="9">
        <v>7887</v>
      </c>
      <c r="F10" s="9">
        <v>8615</v>
      </c>
      <c r="G10" s="9">
        <v>9206</v>
      </c>
      <c r="H10" s="9">
        <v>9740</v>
      </c>
      <c r="I10" s="9">
        <v>10255</v>
      </c>
      <c r="J10" s="9">
        <v>10755</v>
      </c>
      <c r="K10" s="9">
        <v>11253</v>
      </c>
      <c r="L10" s="9">
        <v>11733</v>
      </c>
      <c r="M10" s="9">
        <v>12191</v>
      </c>
      <c r="N10" s="9">
        <v>12633</v>
      </c>
      <c r="O10" s="9">
        <v>13079</v>
      </c>
      <c r="P10" s="9">
        <v>13530</v>
      </c>
      <c r="Q10" s="9">
        <v>13998</v>
      </c>
      <c r="R10" s="9">
        <v>14464</v>
      </c>
      <c r="S10" s="9">
        <v>14947</v>
      </c>
      <c r="T10" s="9">
        <v>15435</v>
      </c>
      <c r="U10" s="9">
        <v>15941</v>
      </c>
      <c r="V10" s="9">
        <v>16458</v>
      </c>
      <c r="W10" s="9">
        <v>16990</v>
      </c>
      <c r="X10" s="9">
        <v>17517</v>
      </c>
      <c r="Y10" s="9">
        <v>18060</v>
      </c>
      <c r="Z10" s="9">
        <v>18603</v>
      </c>
      <c r="AA10" s="9">
        <v>19156</v>
      </c>
      <c r="AB10" s="9">
        <v>19707</v>
      </c>
      <c r="AC10" s="9">
        <v>20268</v>
      </c>
      <c r="AD10" s="9">
        <v>20821</v>
      </c>
      <c r="AE10" s="9">
        <v>21383</v>
      </c>
      <c r="AF10" s="9">
        <v>21959</v>
      </c>
      <c r="AG10" s="9">
        <v>22552</v>
      </c>
    </row>
    <row r="11" spans="1:33" x14ac:dyDescent="0.25">
      <c r="A11" t="s">
        <v>56</v>
      </c>
      <c r="B11" s="5">
        <v>3</v>
      </c>
      <c r="C11" s="9">
        <v>14764</v>
      </c>
      <c r="D11" s="9">
        <v>17478</v>
      </c>
      <c r="E11" s="9">
        <v>19650</v>
      </c>
      <c r="F11" s="9">
        <v>21431</v>
      </c>
      <c r="G11" s="9">
        <v>22818</v>
      </c>
      <c r="H11" s="9">
        <v>24043</v>
      </c>
      <c r="I11" s="9">
        <v>25191</v>
      </c>
      <c r="J11" s="9">
        <v>26289</v>
      </c>
      <c r="K11" s="9">
        <v>27350</v>
      </c>
      <c r="L11" s="9">
        <v>28349</v>
      </c>
      <c r="M11" s="9">
        <v>29280</v>
      </c>
      <c r="N11" s="9">
        <v>30162</v>
      </c>
      <c r="O11" s="9">
        <v>31043</v>
      </c>
      <c r="P11" s="9">
        <v>31919</v>
      </c>
      <c r="Q11" s="9">
        <v>32824</v>
      </c>
      <c r="R11" s="9">
        <v>33717</v>
      </c>
      <c r="S11" s="9">
        <v>34631</v>
      </c>
      <c r="T11" s="9">
        <v>35545</v>
      </c>
      <c r="U11" s="9">
        <v>36488</v>
      </c>
      <c r="V11" s="9">
        <v>37449</v>
      </c>
      <c r="W11" s="9">
        <v>38429</v>
      </c>
      <c r="X11" s="9">
        <v>39391</v>
      </c>
      <c r="Y11" s="9">
        <v>40368</v>
      </c>
      <c r="Z11" s="9">
        <v>41341</v>
      </c>
      <c r="AA11" s="9">
        <v>42279</v>
      </c>
      <c r="AB11" s="9">
        <v>43183</v>
      </c>
      <c r="AC11" s="9">
        <v>44088</v>
      </c>
      <c r="AD11" s="9">
        <v>44962</v>
      </c>
      <c r="AE11" s="9">
        <v>45841</v>
      </c>
      <c r="AF11" s="9">
        <v>46736</v>
      </c>
      <c r="AG11" s="9">
        <v>47648</v>
      </c>
    </row>
    <row r="12" spans="1:33" x14ac:dyDescent="0.25">
      <c r="A12" t="s">
        <v>154</v>
      </c>
      <c r="B12" s="5">
        <v>0</v>
      </c>
      <c r="C12" s="9">
        <v>500</v>
      </c>
      <c r="D12" s="9">
        <v>500</v>
      </c>
      <c r="E12" s="9">
        <v>500</v>
      </c>
      <c r="F12" s="9">
        <v>500</v>
      </c>
      <c r="G12" s="9">
        <v>506.46</v>
      </c>
      <c r="H12" s="9">
        <v>513</v>
      </c>
      <c r="I12" s="9">
        <v>519.62</v>
      </c>
      <c r="J12" s="9">
        <v>526.33000000000004</v>
      </c>
      <c r="K12" s="9">
        <v>533.13</v>
      </c>
      <c r="L12" s="9">
        <v>540.01</v>
      </c>
      <c r="M12" s="9">
        <v>546.98</v>
      </c>
      <c r="N12" s="9">
        <v>554.04999999999995</v>
      </c>
      <c r="O12" s="9">
        <v>561.20000000000005</v>
      </c>
      <c r="P12" s="9">
        <v>568.45000000000005</v>
      </c>
      <c r="Q12" s="9">
        <v>575.79</v>
      </c>
      <c r="R12" s="9">
        <v>583.23</v>
      </c>
      <c r="S12" s="9">
        <v>590.76</v>
      </c>
      <c r="T12" s="9">
        <v>598.39</v>
      </c>
      <c r="U12" s="9">
        <v>606.11</v>
      </c>
      <c r="V12" s="9">
        <v>613.94000000000005</v>
      </c>
      <c r="W12" s="9">
        <v>621.87</v>
      </c>
      <c r="X12" s="9">
        <v>629.9</v>
      </c>
      <c r="Y12" s="9">
        <v>638.03</v>
      </c>
      <c r="Z12" s="9">
        <v>646.27</v>
      </c>
      <c r="AA12" s="9">
        <v>654.62</v>
      </c>
      <c r="AB12" s="9">
        <v>663.07</v>
      </c>
      <c r="AC12" s="9">
        <v>671.63</v>
      </c>
      <c r="AD12" s="9">
        <v>680.3</v>
      </c>
      <c r="AE12" s="9">
        <v>689.09</v>
      </c>
      <c r="AF12" s="9">
        <v>697.99</v>
      </c>
      <c r="AG12" s="9">
        <v>707</v>
      </c>
    </row>
    <row r="13" spans="1:33" x14ac:dyDescent="0.25">
      <c r="A13" t="s">
        <v>63</v>
      </c>
      <c r="B13" s="5">
        <v>3</v>
      </c>
      <c r="C13" s="9">
        <v>28745</v>
      </c>
      <c r="D13" s="9">
        <v>37772</v>
      </c>
      <c r="E13" s="9">
        <v>31016</v>
      </c>
      <c r="F13" s="9">
        <v>33837</v>
      </c>
      <c r="G13" s="9">
        <v>34972.5</v>
      </c>
      <c r="H13" s="9">
        <v>35824.5</v>
      </c>
      <c r="I13" s="9">
        <v>36676.5</v>
      </c>
      <c r="J13" s="9">
        <v>37528.5</v>
      </c>
      <c r="K13" s="9">
        <v>38380.5</v>
      </c>
      <c r="L13" s="9">
        <v>39232.5</v>
      </c>
      <c r="M13" s="9">
        <v>40084.5</v>
      </c>
      <c r="N13" s="9">
        <v>40936.5</v>
      </c>
      <c r="O13" s="9">
        <v>41788.5</v>
      </c>
      <c r="P13" s="9">
        <v>42640.5</v>
      </c>
      <c r="Q13" s="9">
        <v>43492.5</v>
      </c>
      <c r="R13" s="9">
        <v>44344.5</v>
      </c>
      <c r="S13" s="9">
        <v>45196.5</v>
      </c>
      <c r="T13" s="9">
        <v>46048.5</v>
      </c>
      <c r="U13" s="9">
        <v>46900.5</v>
      </c>
      <c r="V13" s="9">
        <v>47752.5</v>
      </c>
      <c r="W13" s="9">
        <v>48604.5</v>
      </c>
      <c r="X13" s="9">
        <v>49456.5</v>
      </c>
      <c r="Y13" s="9">
        <v>50308.5</v>
      </c>
      <c r="Z13" s="9">
        <v>51160.5</v>
      </c>
      <c r="AA13" s="9">
        <v>52012.5</v>
      </c>
      <c r="AB13" s="9">
        <v>52864.5</v>
      </c>
      <c r="AC13" s="9">
        <v>53716.5</v>
      </c>
      <c r="AD13" s="9">
        <v>54568.5</v>
      </c>
      <c r="AE13" s="9">
        <v>55420.5</v>
      </c>
      <c r="AF13" s="9">
        <v>56272.5</v>
      </c>
      <c r="AG13" s="9">
        <v>57124.5</v>
      </c>
    </row>
    <row r="14" spans="1:33" x14ac:dyDescent="0.25">
      <c r="A14" t="s">
        <v>157</v>
      </c>
      <c r="B14" s="5">
        <v>0</v>
      </c>
      <c r="C14" s="9">
        <v>500</v>
      </c>
      <c r="D14" s="9">
        <v>500</v>
      </c>
      <c r="E14" s="9">
        <v>500</v>
      </c>
      <c r="F14" s="9">
        <v>500</v>
      </c>
      <c r="G14" s="9">
        <v>505.42</v>
      </c>
      <c r="H14" s="9">
        <v>510.9</v>
      </c>
      <c r="I14" s="9">
        <v>516.44000000000005</v>
      </c>
      <c r="J14" s="9">
        <v>522.04</v>
      </c>
      <c r="K14" s="9">
        <v>527.70000000000005</v>
      </c>
      <c r="L14" s="9">
        <v>533.41999999999996</v>
      </c>
      <c r="M14" s="9">
        <v>539.21</v>
      </c>
      <c r="N14" s="9">
        <v>545.04999999999995</v>
      </c>
      <c r="O14" s="9">
        <v>550.96</v>
      </c>
      <c r="P14" s="9">
        <v>556.94000000000005</v>
      </c>
      <c r="Q14" s="9">
        <v>562.98</v>
      </c>
      <c r="R14" s="9">
        <v>569.08000000000004</v>
      </c>
      <c r="S14" s="9">
        <v>575.25</v>
      </c>
      <c r="T14" s="9">
        <v>581.49</v>
      </c>
      <c r="U14" s="9">
        <v>587.79</v>
      </c>
      <c r="V14" s="9">
        <v>594.16</v>
      </c>
      <c r="W14" s="9">
        <v>600.61</v>
      </c>
      <c r="X14" s="9">
        <v>607.12</v>
      </c>
      <c r="Y14" s="9">
        <v>613.70000000000005</v>
      </c>
      <c r="Z14" s="9">
        <v>620.36</v>
      </c>
      <c r="AA14" s="9">
        <v>627.08000000000004</v>
      </c>
      <c r="AB14" s="9">
        <v>633.88</v>
      </c>
      <c r="AC14" s="9">
        <v>640.75</v>
      </c>
      <c r="AD14" s="9">
        <v>647.70000000000005</v>
      </c>
      <c r="AE14" s="9">
        <v>654.73</v>
      </c>
      <c r="AF14" s="9">
        <v>661.82</v>
      </c>
      <c r="AG14" s="9">
        <v>669</v>
      </c>
    </row>
    <row r="15" spans="1:33" x14ac:dyDescent="0.25">
      <c r="A15" t="s">
        <v>67</v>
      </c>
      <c r="B15" s="5">
        <v>1</v>
      </c>
      <c r="C15" s="9">
        <v>3347</v>
      </c>
      <c r="D15" s="9">
        <v>4022</v>
      </c>
      <c r="E15" s="9">
        <v>4548</v>
      </c>
      <c r="F15" s="9">
        <v>4964</v>
      </c>
      <c r="G15" s="9">
        <v>5277</v>
      </c>
      <c r="H15" s="9">
        <v>5543</v>
      </c>
      <c r="I15" s="9">
        <v>5788</v>
      </c>
      <c r="J15" s="9">
        <v>6023</v>
      </c>
      <c r="K15" s="9">
        <v>6248</v>
      </c>
      <c r="L15" s="9">
        <v>6462</v>
      </c>
      <c r="M15" s="9">
        <v>6664</v>
      </c>
      <c r="N15" s="9">
        <v>6845</v>
      </c>
      <c r="O15" s="9">
        <v>7026</v>
      </c>
      <c r="P15" s="9">
        <v>7208</v>
      </c>
      <c r="Q15" s="9">
        <v>7394</v>
      </c>
      <c r="R15" s="9">
        <v>7575</v>
      </c>
      <c r="S15" s="9">
        <v>7758</v>
      </c>
      <c r="T15" s="9">
        <v>7944</v>
      </c>
      <c r="U15" s="9">
        <v>8132</v>
      </c>
      <c r="V15" s="9">
        <v>8314</v>
      </c>
      <c r="W15" s="9">
        <v>8504</v>
      </c>
      <c r="X15" s="9">
        <v>8690</v>
      </c>
      <c r="Y15" s="9">
        <v>8877</v>
      </c>
      <c r="Z15" s="9">
        <v>9064</v>
      </c>
      <c r="AA15" s="9">
        <v>9249</v>
      </c>
      <c r="AB15" s="9">
        <v>9430</v>
      </c>
      <c r="AC15" s="9">
        <v>9615</v>
      </c>
      <c r="AD15" s="9">
        <v>9792</v>
      </c>
      <c r="AE15" s="9">
        <v>9968</v>
      </c>
      <c r="AF15" s="9">
        <v>10149</v>
      </c>
      <c r="AG15" s="9">
        <v>10332</v>
      </c>
    </row>
    <row r="16" spans="1:33" x14ac:dyDescent="0.25">
      <c r="A16" t="s">
        <v>128</v>
      </c>
      <c r="B16" s="5">
        <v>3</v>
      </c>
      <c r="C16" s="9">
        <v>31549</v>
      </c>
      <c r="D16" s="9">
        <v>39679</v>
      </c>
      <c r="E16" s="9">
        <v>46003</v>
      </c>
      <c r="F16" s="9">
        <v>51477</v>
      </c>
      <c r="G16" s="9">
        <v>55506</v>
      </c>
      <c r="H16" s="9">
        <v>59472</v>
      </c>
      <c r="I16" s="9">
        <v>62848</v>
      </c>
      <c r="J16" s="9">
        <v>66556</v>
      </c>
      <c r="K16" s="9">
        <v>69823</v>
      </c>
      <c r="L16" s="9">
        <v>73489</v>
      </c>
      <c r="M16" s="9">
        <v>76501</v>
      </c>
      <c r="N16" s="9">
        <v>79702</v>
      </c>
      <c r="O16" s="9">
        <v>82654</v>
      </c>
      <c r="P16" s="9">
        <v>85902</v>
      </c>
      <c r="Q16" s="9">
        <v>88880</v>
      </c>
      <c r="R16" s="9">
        <v>92215</v>
      </c>
      <c r="S16" s="9">
        <v>95200</v>
      </c>
      <c r="T16" s="9">
        <v>98551</v>
      </c>
      <c r="U16" s="9">
        <v>101522</v>
      </c>
      <c r="V16" s="9">
        <v>104935</v>
      </c>
      <c r="W16" s="9">
        <v>107865</v>
      </c>
      <c r="X16" s="9">
        <v>111260</v>
      </c>
      <c r="Y16" s="9">
        <v>114172</v>
      </c>
      <c r="Z16" s="9">
        <v>117670</v>
      </c>
      <c r="AA16" s="9">
        <v>120013</v>
      </c>
      <c r="AB16" s="9">
        <v>122957</v>
      </c>
      <c r="AC16" s="9">
        <v>131684</v>
      </c>
      <c r="AD16" s="9">
        <v>134880</v>
      </c>
      <c r="AE16" s="9">
        <v>137268</v>
      </c>
      <c r="AF16" s="9">
        <v>139697</v>
      </c>
      <c r="AG16" s="9">
        <v>142171</v>
      </c>
    </row>
    <row r="17" spans="1:33" x14ac:dyDescent="0.25">
      <c r="A17" t="s">
        <v>71</v>
      </c>
      <c r="B17" s="5">
        <v>3</v>
      </c>
      <c r="C17" s="9">
        <v>32265</v>
      </c>
      <c r="D17" s="9">
        <v>38999</v>
      </c>
      <c r="E17" s="9">
        <v>44200</v>
      </c>
      <c r="F17" s="9">
        <v>48335</v>
      </c>
      <c r="G17" s="9">
        <v>51472</v>
      </c>
      <c r="H17" s="9">
        <v>54190</v>
      </c>
      <c r="I17" s="9">
        <v>56717</v>
      </c>
      <c r="J17" s="9">
        <v>59118</v>
      </c>
      <c r="K17" s="9">
        <v>61420</v>
      </c>
      <c r="L17" s="9">
        <v>63584</v>
      </c>
      <c r="M17" s="9">
        <v>65591</v>
      </c>
      <c r="N17" s="9">
        <v>67473</v>
      </c>
      <c r="O17" s="9">
        <v>69352</v>
      </c>
      <c r="P17" s="9">
        <v>71224</v>
      </c>
      <c r="Q17" s="9">
        <v>73149</v>
      </c>
      <c r="R17" s="9">
        <v>75046</v>
      </c>
      <c r="S17" s="9">
        <v>76983</v>
      </c>
      <c r="T17" s="9">
        <v>78910</v>
      </c>
      <c r="U17" s="9">
        <v>80907</v>
      </c>
      <c r="V17" s="9">
        <v>82935</v>
      </c>
      <c r="W17" s="9">
        <v>84992</v>
      </c>
      <c r="X17" s="9">
        <v>86999</v>
      </c>
      <c r="Y17" s="9">
        <v>89038</v>
      </c>
      <c r="Z17" s="9">
        <v>91064</v>
      </c>
      <c r="AA17" s="9">
        <v>92950</v>
      </c>
      <c r="AB17" s="9">
        <v>94752</v>
      </c>
      <c r="AC17" s="9">
        <v>96541</v>
      </c>
      <c r="AD17" s="9">
        <v>98254</v>
      </c>
      <c r="AE17" s="9">
        <v>99973</v>
      </c>
      <c r="AF17" s="9">
        <v>101726</v>
      </c>
      <c r="AG17" s="9">
        <v>103509</v>
      </c>
    </row>
    <row r="18" spans="1:33" x14ac:dyDescent="0.25">
      <c r="A18" t="s">
        <v>130</v>
      </c>
      <c r="B18" s="5">
        <v>3</v>
      </c>
      <c r="C18" s="9">
        <v>60878</v>
      </c>
      <c r="D18" s="9">
        <v>72847</v>
      </c>
      <c r="E18" s="9">
        <v>82210</v>
      </c>
      <c r="F18" s="9">
        <v>89700</v>
      </c>
      <c r="G18" s="9">
        <v>95374</v>
      </c>
      <c r="H18" s="9">
        <v>100275</v>
      </c>
      <c r="I18" s="9">
        <v>104819</v>
      </c>
      <c r="J18" s="9">
        <v>109119</v>
      </c>
      <c r="K18" s="9">
        <v>113497</v>
      </c>
      <c r="L18" s="9">
        <v>117584</v>
      </c>
      <c r="M18" s="9">
        <v>121314</v>
      </c>
      <c r="N18" s="9">
        <v>124937</v>
      </c>
      <c r="O18" s="9">
        <v>128389</v>
      </c>
      <c r="P18" s="9">
        <v>131928</v>
      </c>
      <c r="Q18" s="9">
        <v>135552</v>
      </c>
      <c r="R18" s="9">
        <v>139199</v>
      </c>
      <c r="S18" s="9">
        <v>142794</v>
      </c>
      <c r="T18" s="9">
        <v>146383</v>
      </c>
      <c r="U18" s="9">
        <v>150071</v>
      </c>
      <c r="V18" s="9">
        <v>153673</v>
      </c>
      <c r="W18" s="9">
        <v>157519</v>
      </c>
      <c r="X18" s="9">
        <v>161170</v>
      </c>
      <c r="Y18" s="9">
        <v>164857</v>
      </c>
      <c r="Z18" s="9">
        <v>168697</v>
      </c>
      <c r="AA18" s="9">
        <v>172108</v>
      </c>
      <c r="AB18" s="9">
        <v>175687</v>
      </c>
      <c r="AC18" s="9">
        <v>179145</v>
      </c>
      <c r="AD18" s="9">
        <v>182554</v>
      </c>
      <c r="AE18" s="9">
        <v>186038</v>
      </c>
      <c r="AF18" s="9">
        <v>189589</v>
      </c>
      <c r="AG18" s="9">
        <v>193208</v>
      </c>
    </row>
    <row r="19" spans="1:33" x14ac:dyDescent="0.25">
      <c r="A19" t="s">
        <v>76</v>
      </c>
      <c r="B19" s="5">
        <v>3</v>
      </c>
      <c r="C19" s="9">
        <v>19264</v>
      </c>
      <c r="D19" s="9">
        <v>25831</v>
      </c>
      <c r="E19" s="9">
        <v>30520</v>
      </c>
      <c r="F19" s="9">
        <v>33839</v>
      </c>
      <c r="G19" s="9">
        <v>36095</v>
      </c>
      <c r="H19" s="9">
        <v>37861</v>
      </c>
      <c r="I19" s="9">
        <v>39394</v>
      </c>
      <c r="J19" s="9">
        <v>40797</v>
      </c>
      <c r="K19" s="9">
        <v>42122</v>
      </c>
      <c r="L19" s="9">
        <v>43340</v>
      </c>
      <c r="M19" s="9">
        <v>44430</v>
      </c>
      <c r="N19" s="9">
        <v>45429</v>
      </c>
      <c r="O19" s="9">
        <v>46418</v>
      </c>
      <c r="P19" s="9">
        <v>47391</v>
      </c>
      <c r="Q19" s="9">
        <v>48394</v>
      </c>
      <c r="R19" s="9">
        <v>49361</v>
      </c>
      <c r="S19" s="9">
        <v>50344</v>
      </c>
      <c r="T19" s="9">
        <v>51312</v>
      </c>
      <c r="U19" s="9">
        <v>52312</v>
      </c>
      <c r="V19" s="9">
        <v>53316</v>
      </c>
      <c r="W19" s="9">
        <v>54342</v>
      </c>
      <c r="X19" s="9">
        <v>55318</v>
      </c>
      <c r="Y19" s="9">
        <v>56311</v>
      </c>
      <c r="Z19" s="9">
        <v>57280</v>
      </c>
      <c r="AA19" s="9">
        <v>58201</v>
      </c>
      <c r="AB19" s="9">
        <v>59084</v>
      </c>
      <c r="AC19" s="9">
        <v>59980</v>
      </c>
      <c r="AD19" s="9">
        <v>60816</v>
      </c>
      <c r="AE19" s="9">
        <v>61634</v>
      </c>
      <c r="AF19" s="9">
        <v>62465</v>
      </c>
      <c r="AG19" s="9">
        <v>63309</v>
      </c>
    </row>
    <row r="20" spans="1:33" x14ac:dyDescent="0.25">
      <c r="A20" t="s">
        <v>80</v>
      </c>
      <c r="B20" s="5">
        <v>2</v>
      </c>
      <c r="C20" s="9">
        <v>16235</v>
      </c>
      <c r="D20" s="9">
        <v>19650</v>
      </c>
      <c r="E20" s="9">
        <v>22845</v>
      </c>
      <c r="F20" s="9">
        <v>24797</v>
      </c>
      <c r="G20" s="9">
        <v>26343</v>
      </c>
      <c r="H20" s="9">
        <v>27700</v>
      </c>
      <c r="I20" s="9">
        <v>28961</v>
      </c>
      <c r="J20" s="9">
        <v>30287</v>
      </c>
      <c r="K20" s="9">
        <v>30692</v>
      </c>
      <c r="L20" s="9">
        <v>32202</v>
      </c>
      <c r="M20" s="9">
        <v>33704</v>
      </c>
      <c r="N20" s="9">
        <v>34067</v>
      </c>
      <c r="O20" s="9">
        <v>35557</v>
      </c>
      <c r="P20" s="9">
        <v>35912</v>
      </c>
      <c r="Q20" s="9">
        <v>37432</v>
      </c>
      <c r="R20" s="9">
        <v>37775</v>
      </c>
      <c r="S20" s="9">
        <v>38120</v>
      </c>
      <c r="T20" s="9">
        <v>39637</v>
      </c>
      <c r="U20" s="9">
        <v>39997</v>
      </c>
      <c r="V20" s="9">
        <v>41558</v>
      </c>
      <c r="W20" s="9">
        <v>41920</v>
      </c>
      <c r="X20" s="9">
        <v>43471</v>
      </c>
      <c r="Y20" s="9">
        <v>43808</v>
      </c>
      <c r="Z20" s="9">
        <v>45360</v>
      </c>
      <c r="AA20" s="9">
        <v>45673</v>
      </c>
      <c r="AB20" s="9">
        <v>47224</v>
      </c>
      <c r="AC20" s="9">
        <v>47512</v>
      </c>
      <c r="AD20" s="9">
        <v>49022</v>
      </c>
      <c r="AE20" s="9">
        <v>49251</v>
      </c>
      <c r="AF20" s="9">
        <v>49481</v>
      </c>
      <c r="AG20" s="9">
        <v>49712</v>
      </c>
    </row>
    <row r="21" spans="1:33" x14ac:dyDescent="0.25">
      <c r="A21" t="s">
        <v>85</v>
      </c>
      <c r="B21" s="5">
        <v>3</v>
      </c>
      <c r="C21" s="9">
        <v>46245</v>
      </c>
      <c r="D21" s="9">
        <v>58695</v>
      </c>
      <c r="E21" s="9">
        <v>68589</v>
      </c>
      <c r="F21" s="9">
        <v>76417</v>
      </c>
      <c r="G21" s="9">
        <v>82595</v>
      </c>
      <c r="H21" s="9">
        <v>87707</v>
      </c>
      <c r="I21" s="9">
        <v>92377</v>
      </c>
      <c r="J21" s="9">
        <v>96768</v>
      </c>
      <c r="K21" s="9">
        <v>101043</v>
      </c>
      <c r="L21" s="9">
        <v>105083</v>
      </c>
      <c r="M21" s="9">
        <v>108915</v>
      </c>
      <c r="N21" s="9">
        <v>112516</v>
      </c>
      <c r="O21" s="9">
        <v>116195</v>
      </c>
      <c r="P21" s="9">
        <v>119825</v>
      </c>
      <c r="Q21" s="9">
        <v>123626</v>
      </c>
      <c r="R21" s="9">
        <v>127344</v>
      </c>
      <c r="S21" s="9">
        <v>131192</v>
      </c>
      <c r="T21" s="9">
        <v>135036</v>
      </c>
      <c r="U21" s="9">
        <v>139056</v>
      </c>
      <c r="V21" s="9">
        <v>143079</v>
      </c>
      <c r="W21" s="9">
        <v>147282</v>
      </c>
      <c r="X21" s="9">
        <v>151364</v>
      </c>
      <c r="Y21" s="9">
        <v>155611</v>
      </c>
      <c r="Z21" s="9">
        <v>159796</v>
      </c>
      <c r="AA21" s="9">
        <v>164033</v>
      </c>
      <c r="AB21" s="9">
        <v>168244</v>
      </c>
      <c r="AC21" s="9">
        <v>172634</v>
      </c>
      <c r="AD21" s="9">
        <v>176888</v>
      </c>
      <c r="AE21" s="9">
        <v>181271</v>
      </c>
      <c r="AF21" s="9">
        <v>185768</v>
      </c>
      <c r="AG21" s="9">
        <v>190383</v>
      </c>
    </row>
    <row r="22" spans="1:33" x14ac:dyDescent="0.25">
      <c r="A22" t="s">
        <v>91</v>
      </c>
      <c r="B22" s="5">
        <v>0</v>
      </c>
      <c r="C22" s="72">
        <v>500</v>
      </c>
      <c r="D22" s="72">
        <v>500</v>
      </c>
      <c r="E22" s="72">
        <v>500</v>
      </c>
      <c r="F22" s="72">
        <v>500</v>
      </c>
      <c r="G22" s="72">
        <v>502.69</v>
      </c>
      <c r="H22" s="72">
        <v>505.4</v>
      </c>
      <c r="I22" s="72">
        <v>508.12</v>
      </c>
      <c r="J22" s="72">
        <v>510.85</v>
      </c>
      <c r="K22" s="72">
        <v>513.6</v>
      </c>
      <c r="L22" s="72">
        <v>516.37</v>
      </c>
      <c r="M22" s="72">
        <v>519.15</v>
      </c>
      <c r="N22" s="72">
        <v>521.94000000000005</v>
      </c>
      <c r="O22" s="72">
        <v>524.75</v>
      </c>
      <c r="P22" s="72">
        <v>527.58000000000004</v>
      </c>
      <c r="Q22" s="72">
        <v>530.41999999999996</v>
      </c>
      <c r="R22" s="72">
        <v>533.28</v>
      </c>
      <c r="S22" s="72">
        <v>536.15</v>
      </c>
      <c r="T22" s="72">
        <v>539.03</v>
      </c>
      <c r="U22" s="72">
        <v>541.92999999999995</v>
      </c>
      <c r="V22" s="72">
        <v>544.85</v>
      </c>
      <c r="W22" s="72">
        <v>547.78</v>
      </c>
      <c r="X22" s="72">
        <v>550.73</v>
      </c>
      <c r="Y22" s="72">
        <v>553.70000000000005</v>
      </c>
      <c r="Z22" s="72">
        <v>556.67999999999995</v>
      </c>
      <c r="AA22" s="72">
        <v>559.67999999999995</v>
      </c>
      <c r="AB22" s="72">
        <v>562.69000000000005</v>
      </c>
      <c r="AC22" s="72">
        <v>565.72</v>
      </c>
      <c r="AD22" s="72">
        <v>568.76</v>
      </c>
      <c r="AE22" s="72">
        <v>571.83000000000004</v>
      </c>
      <c r="AF22" s="72">
        <v>574.9</v>
      </c>
      <c r="AG22" s="72">
        <v>578</v>
      </c>
    </row>
    <row r="25" spans="1:33" x14ac:dyDescent="0.25">
      <c r="A25" s="23" t="s">
        <v>146</v>
      </c>
    </row>
  </sheetData>
  <autoFilter ref="A2:AG22" xr:uid="{00000000-0009-0000-0000-000000000000}"/>
  <hyperlinks>
    <hyperlink ref="A25" location="Introdução!A1" display="Introdução!A1" xr:uid="{476B61D2-D494-408E-A994-7FAFEE955981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5DE03-B81E-45D9-A69D-479AC3B51F78}">
  <sheetPr codeName="Planilha5">
    <tabColor rgb="FF7030A0"/>
  </sheetPr>
  <dimension ref="A1:AN28"/>
  <sheetViews>
    <sheetView workbookViewId="0"/>
  </sheetViews>
  <sheetFormatPr defaultRowHeight="15" x14ac:dyDescent="0.25"/>
  <cols>
    <col min="1" max="1" width="7" bestFit="1" customWidth="1"/>
    <col min="2" max="2" width="25.7109375" customWidth="1"/>
    <col min="3" max="3" width="7.42578125" bestFit="1" customWidth="1"/>
    <col min="4" max="4" width="13.140625" bestFit="1" customWidth="1"/>
    <col min="5" max="5" width="20.85546875" customWidth="1"/>
    <col min="6" max="6" width="3.85546875" bestFit="1" customWidth="1"/>
    <col min="7" max="7" width="10.42578125" customWidth="1"/>
    <col min="8" max="37" width="19.42578125" bestFit="1" customWidth="1"/>
    <col min="38" max="38" width="20.7109375" bestFit="1" customWidth="1"/>
    <col min="39" max="39" width="18" bestFit="1" customWidth="1"/>
    <col min="40" max="40" width="19.7109375" bestFit="1" customWidth="1"/>
  </cols>
  <sheetData>
    <row r="1" spans="1:40" x14ac:dyDescent="0.25">
      <c r="A1" s="11" t="s">
        <v>0</v>
      </c>
      <c r="B1" s="11" t="s">
        <v>92</v>
      </c>
      <c r="C1" s="11" t="s">
        <v>93</v>
      </c>
      <c r="D1" s="11" t="s">
        <v>2</v>
      </c>
      <c r="E1" s="11" t="s">
        <v>3</v>
      </c>
      <c r="F1" s="11" t="s">
        <v>4</v>
      </c>
      <c r="G1" s="13" t="s">
        <v>94</v>
      </c>
      <c r="H1" s="11" t="s">
        <v>124</v>
      </c>
      <c r="I1" s="11" t="s">
        <v>124</v>
      </c>
      <c r="J1" s="11" t="s">
        <v>124</v>
      </c>
      <c r="K1" s="11" t="s">
        <v>124</v>
      </c>
      <c r="L1" s="11" t="s">
        <v>124</v>
      </c>
      <c r="M1" s="11" t="s">
        <v>124</v>
      </c>
      <c r="N1" s="11" t="s">
        <v>124</v>
      </c>
      <c r="O1" s="11" t="s">
        <v>124</v>
      </c>
      <c r="P1" s="11" t="s">
        <v>124</v>
      </c>
      <c r="Q1" s="11" t="s">
        <v>124</v>
      </c>
      <c r="R1" s="11" t="s">
        <v>124</v>
      </c>
      <c r="S1" s="11" t="s">
        <v>124</v>
      </c>
      <c r="T1" s="11" t="s">
        <v>124</v>
      </c>
      <c r="U1" s="11" t="s">
        <v>124</v>
      </c>
      <c r="V1" s="11" t="s">
        <v>124</v>
      </c>
      <c r="W1" s="11" t="s">
        <v>124</v>
      </c>
      <c r="X1" s="11" t="s">
        <v>124</v>
      </c>
      <c r="Y1" s="11" t="s">
        <v>124</v>
      </c>
      <c r="Z1" s="11" t="s">
        <v>124</v>
      </c>
      <c r="AA1" s="11" t="s">
        <v>124</v>
      </c>
      <c r="AB1" s="11" t="s">
        <v>124</v>
      </c>
      <c r="AC1" s="11" t="s">
        <v>124</v>
      </c>
      <c r="AD1" s="11" t="s">
        <v>124</v>
      </c>
      <c r="AE1" s="11" t="s">
        <v>124</v>
      </c>
      <c r="AF1" s="11" t="s">
        <v>124</v>
      </c>
      <c r="AG1" s="11" t="s">
        <v>124</v>
      </c>
      <c r="AH1" s="11" t="s">
        <v>124</v>
      </c>
      <c r="AI1" s="11" t="s">
        <v>124</v>
      </c>
      <c r="AJ1" s="11" t="s">
        <v>124</v>
      </c>
      <c r="AK1" s="11" t="s">
        <v>124</v>
      </c>
      <c r="AL1" s="11" t="s">
        <v>124</v>
      </c>
      <c r="AM1" s="2" t="s">
        <v>295</v>
      </c>
      <c r="AN1" s="11" t="s">
        <v>124</v>
      </c>
    </row>
    <row r="2" spans="1:40" s="3" customFormat="1" x14ac:dyDescent="0.25">
      <c r="A2" s="18" t="s">
        <v>0</v>
      </c>
      <c r="B2" s="18" t="s">
        <v>92</v>
      </c>
      <c r="C2" s="18" t="s">
        <v>93</v>
      </c>
      <c r="D2" s="18" t="s">
        <v>2</v>
      </c>
      <c r="E2" s="18" t="s">
        <v>3</v>
      </c>
      <c r="F2" s="18" t="s">
        <v>4</v>
      </c>
      <c r="G2" s="19" t="s">
        <v>94</v>
      </c>
      <c r="H2" s="11">
        <v>1</v>
      </c>
      <c r="I2" s="11">
        <v>2</v>
      </c>
      <c r="J2" s="11">
        <v>3</v>
      </c>
      <c r="K2" s="11">
        <v>4</v>
      </c>
      <c r="L2" s="11">
        <v>5</v>
      </c>
      <c r="M2" s="11">
        <v>6</v>
      </c>
      <c r="N2" s="11">
        <v>7</v>
      </c>
      <c r="O2" s="11">
        <v>8</v>
      </c>
      <c r="P2" s="11">
        <v>9</v>
      </c>
      <c r="Q2" s="11">
        <v>10</v>
      </c>
      <c r="R2" s="11">
        <v>11</v>
      </c>
      <c r="S2" s="11">
        <v>12</v>
      </c>
      <c r="T2" s="11">
        <v>13</v>
      </c>
      <c r="U2" s="11">
        <v>14</v>
      </c>
      <c r="V2" s="11">
        <v>15</v>
      </c>
      <c r="W2" s="11">
        <v>16</v>
      </c>
      <c r="X2" s="11">
        <v>17</v>
      </c>
      <c r="Y2" s="11">
        <v>18</v>
      </c>
      <c r="Z2" s="11">
        <v>19</v>
      </c>
      <c r="AA2" s="11">
        <v>20</v>
      </c>
      <c r="AB2" s="11">
        <v>21</v>
      </c>
      <c r="AC2" s="11">
        <v>22</v>
      </c>
      <c r="AD2" s="11">
        <v>23</v>
      </c>
      <c r="AE2" s="11">
        <v>24</v>
      </c>
      <c r="AF2" s="11">
        <v>25</v>
      </c>
      <c r="AG2" s="11">
        <v>26</v>
      </c>
      <c r="AH2" s="11">
        <v>27</v>
      </c>
      <c r="AI2" s="11">
        <v>28</v>
      </c>
      <c r="AJ2" s="11">
        <v>29</v>
      </c>
      <c r="AK2" s="11">
        <v>30</v>
      </c>
      <c r="AL2" s="11" t="s">
        <v>121</v>
      </c>
      <c r="AM2" s="26" t="s">
        <v>295</v>
      </c>
      <c r="AN2" s="11" t="s">
        <v>354</v>
      </c>
    </row>
    <row r="3" spans="1:40" x14ac:dyDescent="0.25">
      <c r="A3" t="s">
        <v>36</v>
      </c>
      <c r="B3" t="s">
        <v>37</v>
      </c>
      <c r="C3">
        <v>150360</v>
      </c>
      <c r="D3" t="s">
        <v>38</v>
      </c>
      <c r="E3" t="s">
        <v>37</v>
      </c>
      <c r="F3" t="s">
        <v>24</v>
      </c>
      <c r="G3" t="s">
        <v>28</v>
      </c>
      <c r="H3" s="1">
        <f>VLOOKUP($A3,'RECEITAS - PAN'!$A$3:$H$23,8,FALSE)-VLOOKUP($A3,'OPEX - PAN'!$A$3:$H$23,8,FALSE)-VLOOKUP($A3,'CAPEX - PAN'!$A$3:$H$23,8,FALSE)</f>
        <v>-32674674.59815</v>
      </c>
      <c r="I3" s="1">
        <f>VLOOKUP($A3,'RECEITAS - PAN'!$A$3:$I$23,9,FALSE)-VLOOKUP($A3,'OPEX - PAN'!$A$3:$I$23,9,FALSE)-VLOOKUP($A3,'CAPEX - PAN'!$A$3:$I$21,9,FALSE)</f>
        <v>-31863897.603011098</v>
      </c>
      <c r="J3" s="1">
        <f>VLOOKUP($A3,'RECEITAS - PAN'!$A$3:$J$23,10,FALSE)-VLOOKUP($A3,'OPEX - PAN'!$A$3:$J$23,10,FALSE)-VLOOKUP($A3,'CAPEX - PAN'!$A$3:$J$21,10,FALSE)</f>
        <v>-31751024.397399999</v>
      </c>
      <c r="K3" s="1">
        <f>VLOOKUP($A3,'RECEITAS - PAN'!$A$3:$K$23,11,FALSE)-VLOOKUP($A3,'OPEX - PAN'!$A$3:$K$23,11,FALSE)-VLOOKUP($A3,'CAPEX - PAN'!$A$3:$K$21,11,FALSE)</f>
        <v>-3846226.5012610988</v>
      </c>
      <c r="L3" s="1">
        <f>VLOOKUP($A3,'RECEITAS - PAN'!$A$3:$L$23,12,FALSE)-VLOOKUP($A3,'OPEX - PAN'!$A$3:$L$23,12,FALSE)-VLOOKUP($A3,'CAPEX - PAN'!$A$3:$L$21,12,FALSE)</f>
        <v>-3924526.5866</v>
      </c>
      <c r="M3" s="1">
        <f>VLOOKUP($A3,'RECEITAS - PAN'!$A$3:$M$23,13,FALSE)-VLOOKUP($A3,'OPEX - PAN'!$A$3:$M$23,13,FALSE)-VLOOKUP($A3,'CAPEX - PAN'!$A$3:$M$21,13,FALSE)</f>
        <v>-3775104.740761098</v>
      </c>
      <c r="N3" s="1">
        <f>VLOOKUP($A3,'RECEITAS - PAN'!$A$3:$N$23,14,FALSE)-VLOOKUP($A3,'OPEX - PAN'!$A$3:$N$23,14,FALSE)-VLOOKUP($A3,'CAPEX - PAN'!$A$3:$N$21,14,FALSE)</f>
        <v>-3652558.5057000001</v>
      </c>
      <c r="O3" s="1">
        <f>VLOOKUP($A3,'RECEITAS - PAN'!$A$3:$O$23,15,FALSE)-VLOOKUP($A3,'OPEX - PAN'!$A$3:$O$23,15,FALSE)-VLOOKUP($A3,'CAPEX - PAN'!$A$3:$O$21,15,FALSE)</f>
        <v>-3922788.156061098</v>
      </c>
      <c r="P3" s="1">
        <f>VLOOKUP($A3,'RECEITAS - PAN'!$A$3:$P$23,16,FALSE)-VLOOKUP($A3,'OPEX - PAN'!$A$3:$P$23,16,FALSE)-VLOOKUP($A3,'CAPEX - PAN'!$A$3:$P$21,16,FALSE)</f>
        <v>-3599219.7838000003</v>
      </c>
      <c r="Q3" s="1">
        <f>VLOOKUP($A3,'RECEITAS - PAN'!$A$3:$Q$23,17,FALSE)-VLOOKUP($A3,'OPEX - PAN'!$A$3:$Q$23,17,FALSE)-VLOOKUP($A3,'CAPEX - PAN'!$A$3:$Q$21,17,FALSE)</f>
        <v>-11229235.559161097</v>
      </c>
      <c r="R3" s="1">
        <f>VLOOKUP($A3,'RECEITAS - PAN'!$A$3:$R$23,18,FALSE)-VLOOKUP($A3,'OPEX - PAN'!$A$3:$R$23,18,FALSE)-VLOOKUP($A3,'CAPEX - PAN'!$A$3:$R$21,18,FALSE)</f>
        <v>-3550025.8385999994</v>
      </c>
      <c r="S3" s="1">
        <f>VLOOKUP($A3,'RECEITAS - PAN'!$A$3:$S$23,19,FALSE)-VLOOKUP($A3,'OPEX - PAN'!$A$3:$S$23,19,FALSE)-VLOOKUP($A3,'CAPEX - PAN'!$A$3:$S$21,19,FALSE)</f>
        <v>-3616532.7122610984</v>
      </c>
      <c r="T3" s="1">
        <f>VLOOKUP($A3,'RECEITAS - PAN'!$A$3:$T$23,20,FALSE)-VLOOKUP($A3,'OPEX - PAN'!$A$3:$T$23,20,FALSE)-VLOOKUP($A3,'CAPEX - PAN'!$A$3:$T$21,20,FALSE)</f>
        <v>-3501062.9622</v>
      </c>
      <c r="U3" s="1">
        <f>VLOOKUP($A3,'RECEITAS - PAN'!$A$3:$U$23,21,FALSE)-VLOOKUP($A3,'OPEX - PAN'!$A$3:$U$23,21,FALSE)-VLOOKUP($A3,'CAPEX - PAN'!$A$3:$U$21,21,FALSE)</f>
        <v>-3568320.8097610986</v>
      </c>
      <c r="V3" s="1">
        <f>VLOOKUP($A3,'RECEITAS - PAN'!$A$3:$V$23,22,FALSE)-VLOOKUP($A3,'OPEX - PAN'!$A$3:$V$23,22,FALSE)-VLOOKUP($A3,'CAPEX - PAN'!$A$3:$V$21,22,FALSE)</f>
        <v>-8827188.1970000006</v>
      </c>
      <c r="W3" s="1">
        <f>VLOOKUP($A3,'RECEITAS - PAN'!$A$3:$W$23,23,FALSE)-VLOOKUP($A3,'OPEX - PAN'!$A$3:$W$23,23,FALSE)-VLOOKUP($A3,'CAPEX - PAN'!$A$3:$W$21,23,FALSE)</f>
        <v>-3519762.3039610982</v>
      </c>
      <c r="X3" s="1">
        <f>VLOOKUP($A3,'RECEITAS - PAN'!$A$3:$X$23,24,FALSE)-VLOOKUP($A3,'OPEX - PAN'!$A$3:$X$23,24,FALSE)-VLOOKUP($A3,'CAPEX - PAN'!$A$3:$X$21,24,FALSE)</f>
        <v>-3403536.4264000002</v>
      </c>
      <c r="Y3" s="1">
        <f>VLOOKUP($A3,'RECEITAS - PAN'!$A$3:$Y$23,25,FALSE)-VLOOKUP($A3,'OPEX - PAN'!$A$3:$Y$23,25,FALSE)-VLOOKUP($A3,'CAPEX - PAN'!$A$3:$Y$21,25,FALSE)</f>
        <v>-3676763.3008610988</v>
      </c>
      <c r="Z3" s="1">
        <f>VLOOKUP($A3,'RECEITAS - PAN'!$A$3:$Z$23,26,FALSE)-VLOOKUP($A3,'OPEX - PAN'!$A$3:$Z$23,26,FALSE)-VLOOKUP($A3,'CAPEX - PAN'!$A$3:$Z$21,26,FALSE)</f>
        <v>-3354833.5025999998</v>
      </c>
      <c r="AA3" s="1">
        <f>VLOOKUP($A3,'RECEITAS - PAN'!$A$3:$AA$23,27,FALSE)-VLOOKUP($A3,'OPEX - PAN'!$A$3:$AA$23,27,FALSE)-VLOOKUP($A3,'CAPEX - PAN'!$A$3:$AA$21,27,FALSE)</f>
        <v>-10985802.437061097</v>
      </c>
      <c r="AB3" s="1">
        <f>VLOOKUP($A3,'RECEITAS - PAN'!$A$3:$AB$23,28,FALSE)-VLOOKUP($A3,'OPEX - PAN'!$A$3:$AB$23,28,FALSE)-VLOOKUP($A3,'CAPEX - PAN'!$A$3:$AB$21,28,FALSE)</f>
        <v>-3307632.5265999995</v>
      </c>
      <c r="AC3" s="1">
        <f>VLOOKUP($A3,'RECEITAS - PAN'!$A$3:$AC$23,29,FALSE)-VLOOKUP($A3,'OPEX - PAN'!$A$3:$AC$23,29,FALSE)-VLOOKUP($A3,'CAPEX - PAN'!$A$3:$AC$21,29,FALSE)</f>
        <v>-3376727.0203610985</v>
      </c>
      <c r="AD3" s="1">
        <f>VLOOKUP($A3,'RECEITAS - PAN'!$A$3:$AD$23,30,FALSE)-VLOOKUP($A3,'OPEX - PAN'!$A$3:$AD$23,30,FALSE)-VLOOKUP($A3,'CAPEX - PAN'!$A$3:$AD$21,30,FALSE)</f>
        <v>-3263549.2643999998</v>
      </c>
      <c r="AE3" s="1">
        <f>VLOOKUP($A3,'RECEITAS - PAN'!$A$3:$AE$23,31,FALSE)-VLOOKUP($A3,'OPEX - PAN'!$A$3:$AE$23,31,FALSE)-VLOOKUP($A3,'CAPEX - PAN'!$A$3:$AE$21,31,FALSE)</f>
        <v>-3333579.9388610981</v>
      </c>
      <c r="AF3" s="1">
        <f>VLOOKUP($A3,'RECEITAS - PAN'!$A$3:$AF$23,32,FALSE)-VLOOKUP($A3,'OPEX - PAN'!$A$3:$AF$23,32,FALSE)-VLOOKUP($A3,'CAPEX - PAN'!$A$3:$AF$21,32,FALSE)</f>
        <v>-3428724.3236999996</v>
      </c>
      <c r="AG3" s="1">
        <f>VLOOKUP($A3,'RECEITAS - PAN'!$A$3:$AG$23,33,FALSE)-VLOOKUP($A3,'OPEX - PAN'!$A$3:$AG$23,33,FALSE)-VLOOKUP($A3,'CAPEX - PAN'!$A$3:$AG$21,33,FALSE)</f>
        <v>-3293749.4374610982</v>
      </c>
      <c r="AH3" s="1">
        <f>VLOOKUP($A3,'RECEITAS - PAN'!$A$3:$AH$23,34,FALSE)-VLOOKUP($A3,'OPEX - PAN'!$A$3:$AH$23,34,FALSE)-VLOOKUP($A3,'CAPEX - PAN'!$A$3:$AH$21,34,FALSE)</f>
        <v>-3181913.8690000004</v>
      </c>
      <c r="AI3" s="1">
        <f>VLOOKUP($A3,'RECEITAS - PAN'!$A$3:$AI$23,35,FALSE)-VLOOKUP($A3,'OPEX - PAN'!$A$3:$AI$23,35,FALSE)-VLOOKUP($A3,'CAPEX - PAN'!$A$3:$AI$21,35,FALSE)</f>
        <v>-3459386.6345610982</v>
      </c>
      <c r="AJ3" s="1">
        <f>VLOOKUP($A3,'RECEITAS - PAN'!$A$3:$AJ$21,36,FALSE)-VLOOKUP($A3,'OPEX - PAN'!$A$3:$AJ$21,36,FALSE)-VLOOKUP($A3,'CAPEX - PAN'!$A$3:$AJ$21,36,FALSE)</f>
        <v>-3105599.3553365106</v>
      </c>
      <c r="AK3" s="1">
        <f>VLOOKUP($A3,'RECEITAS - PAN'!$A$3:$AK$21,37,FALSE)-VLOOKUP($A3,'OPEX - PAN'!$A$3:$AK$21,37,FALSE)-VLOOKUP($A3,'CAPEX - PAN'!$A$3:$AK$21,37,FALSE)</f>
        <v>-3177296.2546353615</v>
      </c>
      <c r="AL3" s="12">
        <f t="shared" ref="AL3:AL6" si="0">SUM(H3:AK3)</f>
        <v>-211171243.54752731</v>
      </c>
      <c r="AM3" s="3">
        <f>VLOOKUP(A3,'BASE PAN - CAPEX'!$A$3:$H$22,8,FALSE)</f>
        <v>3</v>
      </c>
      <c r="AN3" s="1">
        <f>SUM(H3:V3)</f>
        <v>-153302386.95172772</v>
      </c>
    </row>
    <row r="4" spans="1:40" x14ac:dyDescent="0.25">
      <c r="A4" t="s">
        <v>39</v>
      </c>
      <c r="B4" t="s">
        <v>40</v>
      </c>
      <c r="C4">
        <v>291930</v>
      </c>
      <c r="D4" t="s">
        <v>41</v>
      </c>
      <c r="E4" t="s">
        <v>42</v>
      </c>
      <c r="F4" t="s">
        <v>34</v>
      </c>
      <c r="G4" t="s">
        <v>28</v>
      </c>
      <c r="H4" s="1">
        <f>VLOOKUP($A4,'RECEITAS - PAN'!$A$3:$H$23,8,FALSE)-VLOOKUP($A4,'OPEX - PAN'!$A$3:$H$23,8,FALSE)-VLOOKUP($A4,'CAPEX - PAN'!$A$3:$H$23,8,FALSE)</f>
        <v>-31454278.594633333</v>
      </c>
      <c r="I4" s="1">
        <f>VLOOKUP($A4,'RECEITAS - PAN'!$A$3:$I$23,9,FALSE)-VLOOKUP($A4,'OPEX - PAN'!$A$3:$I$23,9,FALSE)-VLOOKUP($A4,'CAPEX - PAN'!$A$3:$I$21,9,FALSE)</f>
        <v>-15385922.822453231</v>
      </c>
      <c r="J4" s="1">
        <f>VLOOKUP($A4,'RECEITAS - PAN'!$A$3:$J$23,10,FALSE)-VLOOKUP($A4,'OPEX - PAN'!$A$3:$J$23,10,FALSE)-VLOOKUP($A4,'CAPEX - PAN'!$A$3:$J$21,10,FALSE)</f>
        <v>-15293710.689983334</v>
      </c>
      <c r="K4" s="1">
        <f>VLOOKUP($A4,'RECEITAS - PAN'!$A$3:$K$23,11,FALSE)-VLOOKUP($A4,'OPEX - PAN'!$A$3:$K$23,11,FALSE)-VLOOKUP($A4,'CAPEX - PAN'!$A$3:$K$21,11,FALSE)</f>
        <v>-2148645.6892198958</v>
      </c>
      <c r="L4" s="1">
        <f>VLOOKUP($A4,'RECEITAS - PAN'!$A$3:$L$23,12,FALSE)-VLOOKUP($A4,'OPEX - PAN'!$A$3:$L$23,12,FALSE)-VLOOKUP($A4,'CAPEX - PAN'!$A$3:$L$21,12,FALSE)</f>
        <v>-2245167.7960999999</v>
      </c>
      <c r="M4" s="1">
        <f>VLOOKUP($A4,'RECEITAS - PAN'!$A$3:$M$23,13,FALSE)-VLOOKUP($A4,'OPEX - PAN'!$A$3:$M$23,13,FALSE)-VLOOKUP($A4,'CAPEX - PAN'!$A$3:$M$21,13,FALSE)</f>
        <v>-2064711.4298198964</v>
      </c>
      <c r="N4" s="1">
        <f>VLOOKUP($A4,'RECEITAS - PAN'!$A$3:$N$23,14,FALSE)-VLOOKUP($A4,'OPEX - PAN'!$A$3:$N$23,14,FALSE)-VLOOKUP($A4,'CAPEX - PAN'!$A$3:$N$21,14,FALSE)</f>
        <v>-1955840.9557999999</v>
      </c>
      <c r="O4" s="1">
        <f>VLOOKUP($A4,'RECEITAS - PAN'!$A$3:$O$23,15,FALSE)-VLOOKUP($A4,'OPEX - PAN'!$A$3:$O$23,15,FALSE)-VLOOKUP($A4,'CAPEX - PAN'!$A$3:$O$21,15,FALSE)</f>
        <v>-2198824.532519896</v>
      </c>
      <c r="P4" s="1">
        <f>VLOOKUP($A4,'RECEITAS - PAN'!$A$3:$P$23,16,FALSE)-VLOOKUP($A4,'OPEX - PAN'!$A$3:$P$23,16,FALSE)-VLOOKUP($A4,'CAPEX - PAN'!$A$3:$P$21,16,FALSE)</f>
        <v>-1886654.3973000001</v>
      </c>
      <c r="Q4" s="1">
        <f>VLOOKUP($A4,'RECEITAS - PAN'!$A$3:$Q$23,17,FALSE)-VLOOKUP($A4,'OPEX - PAN'!$A$3:$Q$23,17,FALSE)-VLOOKUP($A4,'CAPEX - PAN'!$A$3:$Q$21,17,FALSE)</f>
        <v>-10037795.190219896</v>
      </c>
      <c r="R4" s="1">
        <f>VLOOKUP($A4,'RECEITAS - PAN'!$A$3:$R$23,18,FALSE)-VLOOKUP($A4,'OPEX - PAN'!$A$3:$R$23,18,FALSE)-VLOOKUP($A4,'CAPEX - PAN'!$A$3:$R$21,18,FALSE)</f>
        <v>-1820216.9356</v>
      </c>
      <c r="S4" s="1">
        <f>VLOOKUP($A4,'RECEITAS - PAN'!$A$3:$S$23,19,FALSE)-VLOOKUP($A4,'OPEX - PAN'!$A$3:$S$23,19,FALSE)-VLOOKUP($A4,'CAPEX - PAN'!$A$3:$S$21,19,FALSE)</f>
        <v>-1856009.3554198958</v>
      </c>
      <c r="T4" s="1">
        <f>VLOOKUP($A4,'RECEITAS - PAN'!$A$3:$T$23,20,FALSE)-VLOOKUP($A4,'OPEX - PAN'!$A$3:$T$23,20,FALSE)-VLOOKUP($A4,'CAPEX - PAN'!$A$3:$T$21,20,FALSE)</f>
        <v>-1752590.0921</v>
      </c>
      <c r="U4" s="1">
        <f>VLOOKUP($A4,'RECEITAS - PAN'!$A$3:$U$23,21,FALSE)-VLOOKUP($A4,'OPEX - PAN'!$A$3:$U$23,21,FALSE)-VLOOKUP($A4,'CAPEX - PAN'!$A$3:$U$21,21,FALSE)</f>
        <v>-1788266.9774198958</v>
      </c>
      <c r="V4" s="1">
        <f>VLOOKUP($A4,'RECEITAS - PAN'!$A$3:$V$23,22,FALSE)-VLOOKUP($A4,'OPEX - PAN'!$A$3:$V$23,22,FALSE)-VLOOKUP($A4,'CAPEX - PAN'!$A$3:$V$21,22,FALSE)</f>
        <v>-9815991.2648000009</v>
      </c>
      <c r="W4" s="1">
        <f>VLOOKUP($A4,'RECEITAS - PAN'!$A$3:$W$23,23,FALSE)-VLOOKUP($A4,'OPEX - PAN'!$A$3:$W$23,23,FALSE)-VLOOKUP($A4,'CAPEX - PAN'!$A$3:$W$21,23,FALSE)</f>
        <v>-1718687.8734198958</v>
      </c>
      <c r="X4" s="1">
        <f>VLOOKUP($A4,'RECEITAS - PAN'!$A$3:$X$23,24,FALSE)-VLOOKUP($A4,'OPEX - PAN'!$A$3:$X$23,24,FALSE)-VLOOKUP($A4,'CAPEX - PAN'!$A$3:$X$21,24,FALSE)</f>
        <v>-1613036.1843000001</v>
      </c>
      <c r="Y4" s="1">
        <f>VLOOKUP($A4,'RECEITAS - PAN'!$A$3:$Y$23,25,FALSE)-VLOOKUP($A4,'OPEX - PAN'!$A$3:$Y$23,25,FALSE)-VLOOKUP($A4,'CAPEX - PAN'!$A$3:$Y$21,25,FALSE)</f>
        <v>-1855268.7870198959</v>
      </c>
      <c r="Z4" s="1">
        <f>VLOOKUP($A4,'RECEITAS - PAN'!$A$3:$Z$23,26,FALSE)-VLOOKUP($A4,'OPEX - PAN'!$A$3:$Z$23,26,FALSE)-VLOOKUP($A4,'CAPEX - PAN'!$A$3:$Z$21,26,FALSE)</f>
        <v>-1540787.9628999999</v>
      </c>
      <c r="AA4" s="1">
        <f>VLOOKUP($A4,'RECEITAS - PAN'!$A$3:$AA$23,27,FALSE)-VLOOKUP($A4,'OPEX - PAN'!$A$3:$AA$23,27,FALSE)-VLOOKUP($A4,'CAPEX - PAN'!$A$3:$AA$21,27,FALSE)</f>
        <v>-9688730.4668198954</v>
      </c>
      <c r="AB4" s="1">
        <f>VLOOKUP($A4,'RECEITAS - PAN'!$A$3:$AB$23,28,FALSE)-VLOOKUP($A4,'OPEX - PAN'!$A$3:$AB$23,28,FALSE)-VLOOKUP($A4,'CAPEX - PAN'!$A$3:$AB$21,28,FALSE)</f>
        <v>-1468027.6285000001</v>
      </c>
      <c r="AC4" s="1">
        <f>VLOOKUP($A4,'RECEITAS - PAN'!$A$3:$AC$23,29,FALSE)-VLOOKUP($A4,'OPEX - PAN'!$A$3:$AC$23,29,FALSE)-VLOOKUP($A4,'CAPEX - PAN'!$A$3:$AC$21,29,FALSE)</f>
        <v>-1500960.5706198958</v>
      </c>
      <c r="AD4" s="1">
        <f>VLOOKUP($A4,'RECEITAS - PAN'!$A$3:$AD$23,30,FALSE)-VLOOKUP($A4,'OPEX - PAN'!$A$3:$AD$23,30,FALSE)-VLOOKUP($A4,'CAPEX - PAN'!$A$3:$AD$21,30,FALSE)</f>
        <v>-1394017.5066</v>
      </c>
      <c r="AE4" s="1">
        <f>VLOOKUP($A4,'RECEITAS - PAN'!$A$3:$AE$23,31,FALSE)-VLOOKUP($A4,'OPEX - PAN'!$A$3:$AE$23,31,FALSE)-VLOOKUP($A4,'CAPEX - PAN'!$A$3:$AE$21,31,FALSE)</f>
        <v>-1426228.358619896</v>
      </c>
      <c r="AF4" s="1">
        <f>VLOOKUP($A4,'RECEITAS - PAN'!$A$3:$AF$23,32,FALSE)-VLOOKUP($A4,'OPEX - PAN'!$A$3:$AF$23,32,FALSE)-VLOOKUP($A4,'CAPEX - PAN'!$A$3:$AF$21,32,FALSE)</f>
        <v>-1528539.013</v>
      </c>
      <c r="AG4" s="1">
        <f>VLOOKUP($A4,'RECEITAS - PAN'!$A$3:$AG$23,33,FALSE)-VLOOKUP($A4,'OPEX - PAN'!$A$3:$AG$23,33,FALSE)-VLOOKUP($A4,'CAPEX - PAN'!$A$3:$AG$21,33,FALSE)</f>
        <v>-1352461.1307198957</v>
      </c>
      <c r="AH4" s="1">
        <f>VLOOKUP($A4,'RECEITAS - PAN'!$A$3:$AH$23,34,FALSE)-VLOOKUP($A4,'OPEX - PAN'!$A$3:$AH$23,34,FALSE)-VLOOKUP($A4,'CAPEX - PAN'!$A$3:$AH$21,34,FALSE)</f>
        <v>-1245003.3153999997</v>
      </c>
      <c r="AI4" s="1">
        <f>VLOOKUP($A4,'RECEITAS - PAN'!$A$3:$AI$23,35,FALSE)-VLOOKUP($A4,'OPEX - PAN'!$A$3:$AI$23,35,FALSE)-VLOOKUP($A4,'CAPEX - PAN'!$A$3:$AI$21,35,FALSE)</f>
        <v>-1485156.2980198958</v>
      </c>
      <c r="AJ4" s="1">
        <f>VLOOKUP($A4,'RECEITAS - PAN'!$A$3:$AJ$21,36,FALSE)-VLOOKUP($A4,'OPEX - PAN'!$A$3:$AJ$21,36,FALSE)-VLOOKUP($A4,'CAPEX - PAN'!$A$3:$AJ$21,36,FALSE)</f>
        <v>-1172462.5408119094</v>
      </c>
      <c r="AK4" s="1">
        <f>VLOOKUP($A4,'RECEITAS - PAN'!$A$3:$AK$21,37,FALSE)-VLOOKUP($A4,'OPEX - PAN'!$A$3:$AK$21,37,FALSE)-VLOOKUP($A4,'CAPEX - PAN'!$A$3:$AK$21,37,FALSE)</f>
        <v>-1209001.2311819152</v>
      </c>
      <c r="AL4" s="12">
        <f t="shared" si="0"/>
        <v>-131902995.59132235</v>
      </c>
      <c r="AM4" s="3">
        <f>VLOOKUP(A4,'BASE PAN - CAPEX'!$A$3:$H$22,8,FALSE)</f>
        <v>3</v>
      </c>
      <c r="AN4" s="1">
        <f t="shared" ref="AN4:AN21" si="1">SUM(H4:V4)</f>
        <v>-101704626.72338924</v>
      </c>
    </row>
    <row r="5" spans="1:40" x14ac:dyDescent="0.25">
      <c r="A5" t="s">
        <v>43</v>
      </c>
      <c r="B5" t="s">
        <v>44</v>
      </c>
      <c r="C5">
        <v>130040</v>
      </c>
      <c r="D5" t="s">
        <v>45</v>
      </c>
      <c r="E5" t="s">
        <v>44</v>
      </c>
      <c r="F5" t="s">
        <v>30</v>
      </c>
      <c r="G5" t="s">
        <v>28</v>
      </c>
      <c r="H5" s="1">
        <f>VLOOKUP($A5,'RECEITAS - PAN'!$A$3:$H$23,8,FALSE)-VLOOKUP($A5,'OPEX - PAN'!$A$3:$H$23,8,FALSE)-VLOOKUP($A5,'CAPEX - PAN'!$A$3:$H$23,8,FALSE)</f>
        <v>-19407952.940450002</v>
      </c>
      <c r="I5" s="1">
        <f>VLOOKUP($A5,'RECEITAS - PAN'!$A$3:$I$23,9,FALSE)-VLOOKUP($A5,'OPEX - PAN'!$A$3:$I$23,9,FALSE)-VLOOKUP($A5,'CAPEX - PAN'!$A$3:$I$21,9,FALSE)</f>
        <v>-11001339.254550001</v>
      </c>
      <c r="J5" s="1">
        <f>VLOOKUP($A5,'RECEITAS - PAN'!$A$3:$J$23,10,FALSE)-VLOOKUP($A5,'OPEX - PAN'!$A$3:$J$23,10,FALSE)-VLOOKUP($A5,'CAPEX - PAN'!$A$3:$J$21,10,FALSE)</f>
        <v>-11000025.2004</v>
      </c>
      <c r="K5" s="1">
        <f>VLOOKUP($A5,'RECEITAS - PAN'!$A$3:$K$23,11,FALSE)-VLOOKUP($A5,'OPEX - PAN'!$A$3:$K$23,11,FALSE)-VLOOKUP($A5,'CAPEX - PAN'!$A$3:$K$21,11,FALSE)</f>
        <v>-1855988.9134</v>
      </c>
      <c r="L5" s="1">
        <f>VLOOKUP($A5,'RECEITAS - PAN'!$A$3:$L$23,12,FALSE)-VLOOKUP($A5,'OPEX - PAN'!$A$3:$L$23,12,FALSE)-VLOOKUP($A5,'CAPEX - PAN'!$A$3:$L$21,12,FALSE)</f>
        <v>-2050693.6014</v>
      </c>
      <c r="M5" s="1">
        <f>VLOOKUP($A5,'RECEITAS - PAN'!$A$3:$M$23,13,FALSE)-VLOOKUP($A5,'OPEX - PAN'!$A$3:$M$23,13,FALSE)-VLOOKUP($A5,'CAPEX - PAN'!$A$3:$M$21,13,FALSE)</f>
        <v>-1851143.3647</v>
      </c>
      <c r="N5" s="1">
        <f>VLOOKUP($A5,'RECEITAS - PAN'!$A$3:$N$23,14,FALSE)-VLOOKUP($A5,'OPEX - PAN'!$A$3:$N$23,14,FALSE)-VLOOKUP($A5,'CAPEX - PAN'!$A$3:$N$21,14,FALSE)</f>
        <v>-1849002.9823999999</v>
      </c>
      <c r="O5" s="1">
        <f>VLOOKUP($A5,'RECEITAS - PAN'!$A$3:$O$23,15,FALSE)-VLOOKUP($A5,'OPEX - PAN'!$A$3:$O$23,15,FALSE)-VLOOKUP($A5,'CAPEX - PAN'!$A$3:$O$21,15,FALSE)</f>
        <v>-2044185.6369</v>
      </c>
      <c r="P5" s="1">
        <f>VLOOKUP($A5,'RECEITAS - PAN'!$A$3:$P$23,16,FALSE)-VLOOKUP($A5,'OPEX - PAN'!$A$3:$P$23,16,FALSE)-VLOOKUP($A5,'CAPEX - PAN'!$A$3:$P$21,16,FALSE)</f>
        <v>-1845172.7431999999</v>
      </c>
      <c r="Q5" s="1">
        <f>VLOOKUP($A5,'RECEITAS - PAN'!$A$3:$Q$23,17,FALSE)-VLOOKUP($A5,'OPEX - PAN'!$A$3:$Q$23,17,FALSE)-VLOOKUP($A5,'CAPEX - PAN'!$A$3:$Q$21,17,FALSE)</f>
        <v>-9414739.8304000013</v>
      </c>
      <c r="R5" s="1">
        <f>VLOOKUP($A5,'RECEITAS - PAN'!$A$3:$R$23,18,FALSE)-VLOOKUP($A5,'OPEX - PAN'!$A$3:$R$23,18,FALSE)-VLOOKUP($A5,'CAPEX - PAN'!$A$3:$R$21,18,FALSE)</f>
        <v>-1841562.0305999999</v>
      </c>
      <c r="S5" s="1">
        <f>VLOOKUP($A5,'RECEITAS - PAN'!$A$3:$S$23,19,FALSE)-VLOOKUP($A5,'OPEX - PAN'!$A$3:$S$23,19,FALSE)-VLOOKUP($A5,'CAPEX - PAN'!$A$3:$S$21,19,FALSE)</f>
        <v>-1839750.9378</v>
      </c>
      <c r="T5" s="1">
        <f>VLOOKUP($A5,'RECEITAS - PAN'!$A$3:$T$23,20,FALSE)-VLOOKUP($A5,'OPEX - PAN'!$A$3:$T$23,20,FALSE)-VLOOKUP($A5,'CAPEX - PAN'!$A$3:$T$21,20,FALSE)</f>
        <v>-1837923.8772</v>
      </c>
      <c r="U5" s="1">
        <f>VLOOKUP($A5,'RECEITAS - PAN'!$A$3:$U$23,21,FALSE)-VLOOKUP($A5,'OPEX - PAN'!$A$3:$U$23,21,FALSE)-VLOOKUP($A5,'CAPEX - PAN'!$A$3:$U$21,21,FALSE)</f>
        <v>-1836112.7842999999</v>
      </c>
      <c r="V5" s="1">
        <f>VLOOKUP($A5,'RECEITAS - PAN'!$A$3:$V$23,22,FALSE)-VLOOKUP($A5,'OPEX - PAN'!$A$3:$V$23,22,FALSE)-VLOOKUP($A5,'CAPEX - PAN'!$A$3:$V$21,22,FALSE)</f>
        <v>-7255665.5930999992</v>
      </c>
      <c r="W5" s="1">
        <f>VLOOKUP($A5,'RECEITAS - PAN'!$A$3:$W$23,23,FALSE)-VLOOKUP($A5,'OPEX - PAN'!$A$3:$W$23,23,FALSE)-VLOOKUP($A5,'CAPEX - PAN'!$A$3:$W$21,23,FALSE)</f>
        <v>-1832502.0717</v>
      </c>
      <c r="X5" s="1">
        <f>VLOOKUP($A5,'RECEITAS - PAN'!$A$3:$X$23,24,FALSE)-VLOOKUP($A5,'OPEX - PAN'!$A$3:$X$23,24,FALSE)-VLOOKUP($A5,'CAPEX - PAN'!$A$3:$X$21,24,FALSE)</f>
        <v>-1830663.5379999999</v>
      </c>
      <c r="Y5" s="1">
        <f>VLOOKUP($A5,'RECEITAS - PAN'!$A$3:$Y$23,25,FALSE)-VLOOKUP($A5,'OPEX - PAN'!$A$3:$Y$23,25,FALSE)-VLOOKUP($A5,'CAPEX - PAN'!$A$3:$Y$21,25,FALSE)</f>
        <v>-2025928.5150000001</v>
      </c>
      <c r="Z5" s="1">
        <f>VLOOKUP($A5,'RECEITAS - PAN'!$A$3:$Z$23,26,FALSE)-VLOOKUP($A5,'OPEX - PAN'!$A$3:$Z$23,26,FALSE)-VLOOKUP($A5,'CAPEX - PAN'!$A$3:$Z$21,26,FALSE)</f>
        <v>-1826997.9438</v>
      </c>
      <c r="AA5" s="1">
        <f>VLOOKUP($A5,'RECEITAS - PAN'!$A$3:$AA$23,27,FALSE)-VLOOKUP($A5,'OPEX - PAN'!$A$3:$AA$23,27,FALSE)-VLOOKUP($A5,'CAPEX - PAN'!$A$3:$AA$21,27,FALSE)</f>
        <v>-9396592.4717000015</v>
      </c>
      <c r="AB5" s="1">
        <f>VLOOKUP($A5,'RECEITAS - PAN'!$A$3:$AB$23,28,FALSE)-VLOOKUP($A5,'OPEX - PAN'!$A$3:$AB$23,28,FALSE)-VLOOKUP($A5,'CAPEX - PAN'!$A$3:$AB$21,28,FALSE)</f>
        <v>-1823442.1126999999</v>
      </c>
      <c r="AC5" s="1">
        <f>VLOOKUP($A5,'RECEITAS - PAN'!$A$3:$AC$23,29,FALSE)-VLOOKUP($A5,'OPEX - PAN'!$A$3:$AC$23,29,FALSE)-VLOOKUP($A5,'CAPEX - PAN'!$A$3:$AC$21,29,FALSE)</f>
        <v>-1821768.2239000001</v>
      </c>
      <c r="AD5" s="1">
        <f>VLOOKUP($A5,'RECEITAS - PAN'!$A$3:$AD$23,30,FALSE)-VLOOKUP($A5,'OPEX - PAN'!$A$3:$AD$23,30,FALSE)-VLOOKUP($A5,'CAPEX - PAN'!$A$3:$AD$21,30,FALSE)</f>
        <v>-1820176.6575000002</v>
      </c>
      <c r="AE5" s="1">
        <f>VLOOKUP($A5,'RECEITAS - PAN'!$A$3:$AE$23,31,FALSE)-VLOOKUP($A5,'OPEX - PAN'!$A$3:$AE$23,31,FALSE)-VLOOKUP($A5,'CAPEX - PAN'!$A$3:$AE$21,31,FALSE)</f>
        <v>-1818569.1233000001</v>
      </c>
      <c r="AF5" s="1">
        <f>VLOOKUP($A5,'RECEITAS - PAN'!$A$3:$AF$23,32,FALSE)-VLOOKUP($A5,'OPEX - PAN'!$A$3:$AF$23,32,FALSE)-VLOOKUP($A5,'CAPEX - PAN'!$A$3:$AF$21,32,FALSE)</f>
        <v>-2014234.2392</v>
      </c>
      <c r="AG5" s="1">
        <f>VLOOKUP($A5,'RECEITAS - PAN'!$A$3:$AG$23,33,FALSE)-VLOOKUP($A5,'OPEX - PAN'!$A$3:$AG$23,33,FALSE)-VLOOKUP($A5,'CAPEX - PAN'!$A$3:$AG$21,33,FALSE)</f>
        <v>-1815578.0759999999</v>
      </c>
      <c r="AH5" s="1">
        <f>VLOOKUP($A5,'RECEITAS - PAN'!$A$3:$AH$23,34,FALSE)-VLOOKUP($A5,'OPEX - PAN'!$A$3:$AH$23,34,FALSE)-VLOOKUP($A5,'CAPEX - PAN'!$A$3:$AH$21,34,FALSE)</f>
        <v>-1814080.3048999999</v>
      </c>
      <c r="AI5" s="1">
        <f>VLOOKUP($A5,'RECEITAS - PAN'!$A$3:$AI$23,35,FALSE)-VLOOKUP($A5,'OPEX - PAN'!$A$3:$AI$23,35,FALSE)-VLOOKUP($A5,'CAPEX - PAN'!$A$3:$AI$21,35,FALSE)</f>
        <v>-2009745.4209</v>
      </c>
      <c r="AJ5" s="1">
        <f>VLOOKUP($A5,'RECEITAS - PAN'!$A$3:$AJ$21,36,FALSE)-VLOOKUP($A5,'OPEX - PAN'!$A$3:$AJ$21,36,FALSE)-VLOOKUP($A5,'CAPEX - PAN'!$A$3:$AJ$21,36,FALSE)</f>
        <v>-1808848.0195722219</v>
      </c>
      <c r="AK5" s="1">
        <f>VLOOKUP($A5,'RECEITAS - PAN'!$A$3:$AK$21,37,FALSE)-VLOOKUP($A5,'OPEX - PAN'!$A$3:$AK$21,37,FALSE)-VLOOKUP($A5,'CAPEX - PAN'!$A$3:$AK$21,37,FALSE)</f>
        <v>-1807280.0578793648</v>
      </c>
      <c r="AL5" s="12">
        <f t="shared" si="0"/>
        <v>-112397666.46685161</v>
      </c>
      <c r="AM5" s="3">
        <f>VLOOKUP(A5,'BASE PAN - CAPEX'!$A$3:$H$22,8,FALSE)</f>
        <v>1</v>
      </c>
      <c r="AN5" s="1">
        <f t="shared" si="1"/>
        <v>-76931259.690799996</v>
      </c>
    </row>
    <row r="6" spans="1:40" x14ac:dyDescent="0.25">
      <c r="A6" t="s">
        <v>47</v>
      </c>
      <c r="B6" t="s">
        <v>48</v>
      </c>
      <c r="C6">
        <v>130190</v>
      </c>
      <c r="D6" t="s">
        <v>49</v>
      </c>
      <c r="E6" t="s">
        <v>48</v>
      </c>
      <c r="F6" t="s">
        <v>30</v>
      </c>
      <c r="G6" t="s">
        <v>28</v>
      </c>
      <c r="H6" s="1">
        <f>VLOOKUP($A6,'RECEITAS - PAN'!$A$3:$H$23,8,FALSE)-VLOOKUP($A6,'OPEX - PAN'!$A$3:$H$23,8,FALSE)-VLOOKUP($A6,'CAPEX - PAN'!$A$3:$H$23,8,FALSE)</f>
        <v>-39346085.925350003</v>
      </c>
      <c r="I6" s="1">
        <f>VLOOKUP($A6,'RECEITAS - PAN'!$A$3:$I$23,9,FALSE)-VLOOKUP($A6,'OPEX - PAN'!$A$3:$I$23,9,FALSE)-VLOOKUP($A6,'CAPEX - PAN'!$A$3:$I$21,9,FALSE)</f>
        <v>-38321994.117373757</v>
      </c>
      <c r="J6" s="1">
        <f>VLOOKUP($A6,'RECEITAS - PAN'!$A$3:$J$23,10,FALSE)-VLOOKUP($A6,'OPEX - PAN'!$A$3:$J$23,10,FALSE)-VLOOKUP($A6,'CAPEX - PAN'!$A$3:$J$21,10,FALSE)</f>
        <v>-38141602.919299997</v>
      </c>
      <c r="K6" s="1">
        <f>VLOOKUP($A6,'RECEITAS - PAN'!$A$3:$K$23,11,FALSE)-VLOOKUP($A6,'OPEX - PAN'!$A$3:$K$23,11,FALSE)-VLOOKUP($A6,'CAPEX - PAN'!$A$3:$K$21,11,FALSE)</f>
        <v>-1412155.2209237576</v>
      </c>
      <c r="L6" s="1">
        <f>VLOOKUP($A6,'RECEITAS - PAN'!$A$3:$L$23,12,FALSE)-VLOOKUP($A6,'OPEX - PAN'!$A$3:$L$23,12,FALSE)-VLOOKUP($A6,'CAPEX - PAN'!$A$3:$L$21,12,FALSE)</f>
        <v>-1413811.3441999997</v>
      </c>
      <c r="M6" s="1">
        <f>VLOOKUP($A6,'RECEITAS - PAN'!$A$3:$M$23,13,FALSE)-VLOOKUP($A6,'OPEX - PAN'!$A$3:$M$23,13,FALSE)-VLOOKUP($A6,'CAPEX - PAN'!$A$3:$M$21,13,FALSE)</f>
        <v>-1165709.3520237566</v>
      </c>
      <c r="N6" s="1">
        <f>VLOOKUP($A6,'RECEITAS - PAN'!$A$3:$N$23,14,FALSE)-VLOOKUP($A6,'OPEX - PAN'!$A$3:$N$23,14,FALSE)-VLOOKUP($A6,'CAPEX - PAN'!$A$3:$N$21,14,FALSE)</f>
        <v>-957210.8387000002</v>
      </c>
      <c r="O6" s="1">
        <f>VLOOKUP($A6,'RECEITAS - PAN'!$A$3:$O$23,15,FALSE)-VLOOKUP($A6,'OPEX - PAN'!$A$3:$O$23,15,FALSE)-VLOOKUP($A6,'CAPEX - PAN'!$A$3:$O$21,15,FALSE)</f>
        <v>-1163890.2422237569</v>
      </c>
      <c r="P6" s="1">
        <f>VLOOKUP($A6,'RECEITAS - PAN'!$A$3:$P$23,16,FALSE)-VLOOKUP($A6,'OPEX - PAN'!$A$3:$P$23,16,FALSE)-VLOOKUP($A6,'CAPEX - PAN'!$A$3:$P$21,16,FALSE)</f>
        <v>-748404.86719999975</v>
      </c>
      <c r="Q6" s="1">
        <f>VLOOKUP($A6,'RECEITAS - PAN'!$A$3:$Q$23,17,FALSE)-VLOOKUP($A6,'OPEX - PAN'!$A$3:$Q$23,17,FALSE)-VLOOKUP($A6,'CAPEX - PAN'!$A$3:$Q$21,17,FALSE)</f>
        <v>-9710948.7059237584</v>
      </c>
      <c r="R6" s="1">
        <f>VLOOKUP($A6,'RECEITAS - PAN'!$A$3:$R$23,18,FALSE)-VLOOKUP($A6,'OPEX - PAN'!$A$3:$R$23,18,FALSE)-VLOOKUP($A6,'CAPEX - PAN'!$A$3:$R$21,18,FALSE)</f>
        <v>-547161.32770000026</v>
      </c>
      <c r="S6" s="1">
        <f>VLOOKUP($A6,'RECEITAS - PAN'!$A$3:$S$23,19,FALSE)-VLOOKUP($A6,'OPEX - PAN'!$A$3:$S$23,19,FALSE)-VLOOKUP($A6,'CAPEX - PAN'!$A$3:$S$21,19,FALSE)</f>
        <v>-534680.16792375688</v>
      </c>
      <c r="T6" s="1">
        <f>VLOOKUP($A6,'RECEITAS - PAN'!$A$3:$T$23,20,FALSE)-VLOOKUP($A6,'OPEX - PAN'!$A$3:$T$23,20,FALSE)-VLOOKUP($A6,'CAPEX - PAN'!$A$3:$T$21,20,FALSE)</f>
        <v>-339832.40409999993</v>
      </c>
      <c r="U6" s="1">
        <f>VLOOKUP($A6,'RECEITAS - PAN'!$A$3:$U$23,21,FALSE)-VLOOKUP($A6,'OPEX - PAN'!$A$3:$U$23,21,FALSE)-VLOOKUP($A6,'CAPEX - PAN'!$A$3:$U$21,21,FALSE)</f>
        <v>-328016.95212375699</v>
      </c>
      <c r="V6" s="1">
        <f>VLOOKUP($A6,'RECEITAS - PAN'!$A$3:$V$23,22,FALSE)-VLOOKUP($A6,'OPEX - PAN'!$A$3:$V$23,22,FALSE)-VLOOKUP($A6,'CAPEX - PAN'!$A$3:$V$21,22,FALSE)</f>
        <v>-5540227.660600001</v>
      </c>
      <c r="W6" s="1">
        <f>VLOOKUP($A6,'RECEITAS - PAN'!$A$3:$W$23,23,FALSE)-VLOOKUP($A6,'OPEX - PAN'!$A$3:$W$23,23,FALSE)-VLOOKUP($A6,'CAPEX - PAN'!$A$3:$W$21,23,FALSE)</f>
        <v>-117498.72842375656</v>
      </c>
      <c r="X6" s="1">
        <f>VLOOKUP($A6,'RECEITAS - PAN'!$A$3:$X$23,24,FALSE)-VLOOKUP($A6,'OPEX - PAN'!$A$3:$X$23,24,FALSE)-VLOOKUP($A6,'CAPEX - PAN'!$A$3:$X$21,24,FALSE)</f>
        <v>77029.904699999839</v>
      </c>
      <c r="Y6" s="1">
        <f>VLOOKUP($A6,'RECEITAS - PAN'!$A$3:$Y$23,25,FALSE)-VLOOKUP($A6,'OPEX - PAN'!$A$3:$Y$23,25,FALSE)-VLOOKUP($A6,'CAPEX - PAN'!$A$3:$Y$21,25,FALSE)</f>
        <v>-127812.98332375759</v>
      </c>
      <c r="Z6" s="1">
        <f>VLOOKUP($A6,'RECEITAS - PAN'!$A$3:$Z$23,26,FALSE)-VLOOKUP($A6,'OPEX - PAN'!$A$3:$Z$23,26,FALSE)-VLOOKUP($A6,'CAPEX - PAN'!$A$3:$Z$21,26,FALSE)</f>
        <v>291112.86119999923</v>
      </c>
      <c r="AA6" s="1">
        <f>VLOOKUP($A6,'RECEITAS - PAN'!$A$3:$AA$23,27,FALSE)-VLOOKUP($A6,'OPEX - PAN'!$A$3:$AA$23,27,FALSE)-VLOOKUP($A6,'CAPEX - PAN'!$A$3:$AA$21,27,FALSE)</f>
        <v>-8662183.6718237586</v>
      </c>
      <c r="AB6" s="1">
        <f>VLOOKUP($A6,'RECEITAS - PAN'!$A$3:$AB$23,28,FALSE)-VLOOKUP($A6,'OPEX - PAN'!$A$3:$AB$23,28,FALSE)-VLOOKUP($A6,'CAPEX - PAN'!$A$3:$AB$21,28,FALSE)</f>
        <v>509472.89320000075</v>
      </c>
      <c r="AC6" s="1">
        <f>VLOOKUP($A6,'RECEITAS - PAN'!$A$3:$AC$23,29,FALSE)-VLOOKUP($A6,'OPEX - PAN'!$A$3:$AC$23,29,FALSE)-VLOOKUP($A6,'CAPEX - PAN'!$A$3:$AC$21,29,FALSE)</f>
        <v>515442.93417624291</v>
      </c>
      <c r="AD6" s="1">
        <f>VLOOKUP($A6,'RECEITAS - PAN'!$A$3:$AD$23,30,FALSE)-VLOOKUP($A6,'OPEX - PAN'!$A$3:$AD$23,30,FALSE)-VLOOKUP($A6,'CAPEX - PAN'!$A$3:$AD$21,30,FALSE)</f>
        <v>704637.02529999986</v>
      </c>
      <c r="AE6" s="1">
        <f>VLOOKUP($A6,'RECEITAS - PAN'!$A$3:$AE$23,31,FALSE)-VLOOKUP($A6,'OPEX - PAN'!$A$3:$AE$23,31,FALSE)-VLOOKUP($A6,'CAPEX - PAN'!$A$3:$AE$21,31,FALSE)</f>
        <v>714889.05967624206</v>
      </c>
      <c r="AF6" s="1">
        <f>VLOOKUP($A6,'RECEITAS - PAN'!$A$3:$AF$23,32,FALSE)-VLOOKUP($A6,'OPEX - PAN'!$A$3:$AF$23,32,FALSE)-VLOOKUP($A6,'CAPEX - PAN'!$A$3:$AF$21,32,FALSE)</f>
        <v>681215.95369999949</v>
      </c>
      <c r="AG6" s="1">
        <f>VLOOKUP($A6,'RECEITAS - PAN'!$A$3:$AG$23,33,FALSE)-VLOOKUP($A6,'OPEX - PAN'!$A$3:$AG$23,33,FALSE)-VLOOKUP($A6,'CAPEX - PAN'!$A$3:$AG$21,33,FALSE)</f>
        <v>909926.6200762419</v>
      </c>
      <c r="AH6" s="1">
        <f>VLOOKUP($A6,'RECEITAS - PAN'!$A$3:$AH$23,34,FALSE)-VLOOKUP($A6,'OPEX - PAN'!$A$3:$AH$23,34,FALSE)-VLOOKUP($A6,'CAPEX - PAN'!$A$3:$AH$21,34,FALSE)</f>
        <v>1118101.2251000004</v>
      </c>
      <c r="AI6" s="1">
        <f>VLOOKUP($A6,'RECEITAS - PAN'!$A$3:$AI$23,35,FALSE)-VLOOKUP($A6,'OPEX - PAN'!$A$3:$AI$23,35,FALSE)-VLOOKUP($A6,'CAPEX - PAN'!$A$3:$AI$21,35,FALSE)</f>
        <v>909444.14767624252</v>
      </c>
      <c r="AJ6" s="1">
        <f>VLOOKUP($A6,'RECEITAS - PAN'!$A$3:$AJ$21,36,FALSE)-VLOOKUP($A6,'OPEX - PAN'!$A$3:$AJ$21,36,FALSE)-VLOOKUP($A6,'CAPEX - PAN'!$A$3:$AJ$21,36,FALSE)</f>
        <v>1371772.3619880863</v>
      </c>
      <c r="AK6" s="1">
        <f>VLOOKUP($A6,'RECEITAS - PAN'!$A$3:$AK$21,37,FALSE)-VLOOKUP($A6,'OPEX - PAN'!$A$3:$AK$21,37,FALSE)-VLOOKUP($A6,'CAPEX - PAN'!$A$3:$AK$21,37,FALSE)</f>
        <v>1361780.1082404274</v>
      </c>
      <c r="AL6" s="12">
        <f t="shared" si="0"/>
        <v>-139414402.33420408</v>
      </c>
      <c r="AM6" s="3">
        <f>VLOOKUP(A6,'BASE PAN - CAPEX'!$A$3:$H$22,8,FALSE)</f>
        <v>3</v>
      </c>
      <c r="AN6" s="1">
        <f t="shared" si="1"/>
        <v>-139671732.04566631</v>
      </c>
    </row>
    <row r="7" spans="1:40" x14ac:dyDescent="0.25">
      <c r="A7" t="s">
        <v>50</v>
      </c>
      <c r="B7" t="s">
        <v>95</v>
      </c>
      <c r="C7">
        <v>120060</v>
      </c>
      <c r="D7" t="s">
        <v>52</v>
      </c>
      <c r="E7" t="s">
        <v>51</v>
      </c>
      <c r="F7" t="s">
        <v>35</v>
      </c>
      <c r="G7" t="s">
        <v>28</v>
      </c>
      <c r="H7" s="1">
        <f>VLOOKUP($A7,'RECEITAS - PAN'!$A$3:$H$23,8,FALSE)-VLOOKUP($A7,'OPEX - PAN'!$A$3:$H$23,8,FALSE)-VLOOKUP($A7,'CAPEX - PAN'!$A$3:$H$23,8,FALSE)</f>
        <v>-22236024.625100002</v>
      </c>
      <c r="I7" s="1">
        <f>VLOOKUP($A7,'RECEITAS - PAN'!$A$3:$I$23,9,FALSE)-VLOOKUP($A7,'OPEX - PAN'!$A$3:$I$23,9,FALSE)-VLOOKUP($A7,'CAPEX - PAN'!$A$3:$I$21,9,FALSE)</f>
        <v>-21230995.409449998</v>
      </c>
      <c r="J7" s="1">
        <f>VLOOKUP($A7,'RECEITAS - PAN'!$A$3:$J$23,10,FALSE)-VLOOKUP($A7,'OPEX - PAN'!$A$3:$J$23,10,FALSE)-VLOOKUP($A7,'CAPEX - PAN'!$A$3:$J$21,10,FALSE)</f>
        <v>-21226162.145750001</v>
      </c>
      <c r="K7" s="1">
        <f>VLOOKUP($A7,'RECEITAS - PAN'!$A$3:$K$23,11,FALSE)-VLOOKUP($A7,'OPEX - PAN'!$A$3:$K$23,11,FALSE)-VLOOKUP($A7,'CAPEX - PAN'!$A$3:$K$21,11,FALSE)</f>
        <v>-1747069.5057999999</v>
      </c>
      <c r="L7" s="1">
        <f>VLOOKUP($A7,'RECEITAS - PAN'!$A$3:$L$23,12,FALSE)-VLOOKUP($A7,'OPEX - PAN'!$A$3:$L$23,12,FALSE)-VLOOKUP($A7,'CAPEX - PAN'!$A$3:$L$21,12,FALSE)</f>
        <v>-1917421.7510999998</v>
      </c>
      <c r="M7" s="1">
        <f>VLOOKUP($A7,'RECEITAS - PAN'!$A$3:$M$23,13,FALSE)-VLOOKUP($A7,'OPEX - PAN'!$A$3:$M$23,13,FALSE)-VLOOKUP($A7,'CAPEX - PAN'!$A$3:$M$21,13,FALSE)</f>
        <v>-1727854.4796</v>
      </c>
      <c r="N7" s="1">
        <f>VLOOKUP($A7,'RECEITAS - PAN'!$A$3:$N$23,14,FALSE)-VLOOKUP($A7,'OPEX - PAN'!$A$3:$N$23,14,FALSE)-VLOOKUP($A7,'CAPEX - PAN'!$A$3:$N$21,14,FALSE)</f>
        <v>-1718507.4854000001</v>
      </c>
      <c r="O7" s="1">
        <f>VLOOKUP($A7,'RECEITAS - PAN'!$A$3:$O$23,15,FALSE)-VLOOKUP($A7,'OPEX - PAN'!$A$3:$O$23,15,FALSE)-VLOOKUP($A7,'CAPEX - PAN'!$A$3:$O$21,15,FALSE)</f>
        <v>-1889917.2432999997</v>
      </c>
      <c r="P7" s="1">
        <f>VLOOKUP($A7,'RECEITAS - PAN'!$A$3:$P$23,16,FALSE)-VLOOKUP($A7,'OPEX - PAN'!$A$3:$P$23,16,FALSE)-VLOOKUP($A7,'CAPEX - PAN'!$A$3:$P$21,16,FALSE)</f>
        <v>-1702021.1351999999</v>
      </c>
      <c r="Q7" s="1">
        <f>VLOOKUP($A7,'RECEITAS - PAN'!$A$3:$Q$23,17,FALSE)-VLOOKUP($A7,'OPEX - PAN'!$A$3:$Q$23,17,FALSE)-VLOOKUP($A7,'CAPEX - PAN'!$A$3:$Q$21,17,FALSE)</f>
        <v>-7902004.4002</v>
      </c>
      <c r="R7" s="1">
        <f>VLOOKUP($A7,'RECEITAS - PAN'!$A$3:$R$23,18,FALSE)-VLOOKUP($A7,'OPEX - PAN'!$A$3:$R$23,18,FALSE)-VLOOKUP($A7,'CAPEX - PAN'!$A$3:$R$21,18,FALSE)</f>
        <v>-1685372.0907999999</v>
      </c>
      <c r="S7" s="1">
        <f>VLOOKUP($A7,'RECEITAS - PAN'!$A$3:$S$23,19,FALSE)-VLOOKUP($A7,'OPEX - PAN'!$A$3:$S$23,19,FALSE)-VLOOKUP($A7,'CAPEX - PAN'!$A$3:$S$21,19,FALSE)</f>
        <v>-1677070.0967999999</v>
      </c>
      <c r="T7" s="1">
        <f>VLOOKUP($A7,'RECEITAS - PAN'!$A$3:$T$23,20,FALSE)-VLOOKUP($A7,'OPEX - PAN'!$A$3:$T$23,20,FALSE)-VLOOKUP($A7,'CAPEX - PAN'!$A$3:$T$21,20,FALSE)</f>
        <v>-1668826.9217000001</v>
      </c>
      <c r="U7" s="1">
        <f>VLOOKUP($A7,'RECEITAS - PAN'!$A$3:$U$23,21,FALSE)-VLOOKUP($A7,'OPEX - PAN'!$A$3:$U$23,21,FALSE)-VLOOKUP($A7,'CAPEX - PAN'!$A$3:$U$21,21,FALSE)</f>
        <v>-1660122.7796</v>
      </c>
      <c r="V7" s="1">
        <f>VLOOKUP($A7,'RECEITAS - PAN'!$A$3:$V$23,22,FALSE)-VLOOKUP($A7,'OPEX - PAN'!$A$3:$V$23,22,FALSE)-VLOOKUP($A7,'CAPEX - PAN'!$A$3:$V$21,22,FALSE)</f>
        <v>-8538985.1633000001</v>
      </c>
      <c r="W7" s="1">
        <f>VLOOKUP($A7,'RECEITAS - PAN'!$A$3:$W$23,23,FALSE)-VLOOKUP($A7,'OPEX - PAN'!$A$3:$W$23,23,FALSE)-VLOOKUP($A7,'CAPEX - PAN'!$A$3:$W$21,23,FALSE)</f>
        <v>-1642443.3382999999</v>
      </c>
      <c r="X7" s="1">
        <f>VLOOKUP($A7,'RECEITAS - PAN'!$A$3:$X$23,24,FALSE)-VLOOKUP($A7,'OPEX - PAN'!$A$3:$X$23,24,FALSE)-VLOOKUP($A7,'CAPEX - PAN'!$A$3:$X$21,24,FALSE)</f>
        <v>-1633495.1548000001</v>
      </c>
      <c r="Y7" s="1">
        <f>VLOOKUP($A7,'RECEITAS - PAN'!$A$3:$Y$23,25,FALSE)-VLOOKUP($A7,'OPEX - PAN'!$A$3:$Y$23,25,FALSE)-VLOOKUP($A7,'CAPEX - PAN'!$A$3:$Y$21,25,FALSE)</f>
        <v>-1804113.9697999998</v>
      </c>
      <c r="Z7" s="1">
        <f>VLOOKUP($A7,'RECEITAS - PAN'!$A$3:$Z$23,26,FALSE)-VLOOKUP($A7,'OPEX - PAN'!$A$3:$Z$23,26,FALSE)-VLOOKUP($A7,'CAPEX - PAN'!$A$3:$Z$21,26,FALSE)</f>
        <v>-1614807.8448999999</v>
      </c>
      <c r="AA7" s="1">
        <f>VLOOKUP($A7,'RECEITAS - PAN'!$A$3:$AA$23,27,FALSE)-VLOOKUP($A7,'OPEX - PAN'!$A$3:$AA$23,27,FALSE)-VLOOKUP($A7,'CAPEX - PAN'!$A$3:$AA$21,27,FALSE)</f>
        <v>-7814303.0271000005</v>
      </c>
      <c r="AB7" s="1">
        <f>VLOOKUP($A7,'RECEITAS - PAN'!$A$3:$AB$23,28,FALSE)-VLOOKUP($A7,'OPEX - PAN'!$A$3:$AB$23,28,FALSE)-VLOOKUP($A7,'CAPEX - PAN'!$A$3:$AB$21,28,FALSE)</f>
        <v>-1596558.9737</v>
      </c>
      <c r="AC7" s="1">
        <f>VLOOKUP($A7,'RECEITAS - PAN'!$A$3:$AC$23,29,FALSE)-VLOOKUP($A7,'OPEX - PAN'!$A$3:$AC$23,29,FALSE)-VLOOKUP($A7,'CAPEX - PAN'!$A$3:$AC$21,29,FALSE)</f>
        <v>-1588153.1043</v>
      </c>
      <c r="AD7" s="1">
        <f>VLOOKUP($A7,'RECEITAS - PAN'!$A$3:$AD$23,30,FALSE)-VLOOKUP($A7,'OPEX - PAN'!$A$3:$AD$23,30,FALSE)-VLOOKUP($A7,'CAPEX - PAN'!$A$3:$AD$21,30,FALSE)</f>
        <v>-1579323.3942</v>
      </c>
      <c r="AE7" s="1">
        <f>VLOOKUP($A7,'RECEITAS - PAN'!$A$3:$AE$23,31,FALSE)-VLOOKUP($A7,'OPEX - PAN'!$A$3:$AE$23,31,FALSE)-VLOOKUP($A7,'CAPEX - PAN'!$A$3:$AE$21,31,FALSE)</f>
        <v>-1571107.3348000001</v>
      </c>
      <c r="AF7" s="1">
        <f>VLOOKUP($A7,'RECEITAS - PAN'!$A$3:$AF$23,32,FALSE)-VLOOKUP($A7,'OPEX - PAN'!$A$3:$AF$23,32,FALSE)-VLOOKUP($A7,'CAPEX - PAN'!$A$3:$AF$21,32,FALSE)</f>
        <v>-1743249.2168000001</v>
      </c>
      <c r="AG7" s="1">
        <f>VLOOKUP($A7,'RECEITAS - PAN'!$A$3:$AG$23,33,FALSE)-VLOOKUP($A7,'OPEX - PAN'!$A$3:$AG$23,33,FALSE)-VLOOKUP($A7,'CAPEX - PAN'!$A$3:$AG$21,33,FALSE)</f>
        <v>-1555081.9517000001</v>
      </c>
      <c r="AH7" s="1">
        <f>VLOOKUP($A7,'RECEITAS - PAN'!$A$3:$AH$23,34,FALSE)-VLOOKUP($A7,'OPEX - PAN'!$A$3:$AH$23,34,FALSE)-VLOOKUP($A7,'CAPEX - PAN'!$A$3:$AH$21,34,FALSE)</f>
        <v>-1546865.8922999999</v>
      </c>
      <c r="AI7" s="1">
        <f>VLOOKUP($A7,'RECEITAS - PAN'!$A$3:$AI$23,35,FALSE)-VLOOKUP($A7,'OPEX - PAN'!$A$3:$AI$23,35,FALSE)-VLOOKUP($A7,'CAPEX - PAN'!$A$3:$AI$21,35,FALSE)</f>
        <v>-1718628.1543999999</v>
      </c>
      <c r="AJ7" s="1">
        <f>VLOOKUP($A7,'RECEITAS - PAN'!$A$3:$AJ$21,36,FALSE)-VLOOKUP($A7,'OPEX - PAN'!$A$3:$AJ$21,36,FALSE)-VLOOKUP($A7,'CAPEX - PAN'!$A$3:$AJ$21,36,FALSE)</f>
        <v>-1527387.9998420631</v>
      </c>
      <c r="AK7" s="1">
        <f>VLOOKUP($A7,'RECEITAS - PAN'!$A$3:$AK$21,37,FALSE)-VLOOKUP($A7,'OPEX - PAN'!$A$3:$AK$21,37,FALSE)-VLOOKUP($A7,'CAPEX - PAN'!$A$3:$AK$21,37,FALSE)</f>
        <v>-1519083.1003139471</v>
      </c>
      <c r="AL7" s="12">
        <f t="shared" ref="AL7:AL10" si="2">SUM(H7:AK7)</f>
        <v>-128982957.69035602</v>
      </c>
      <c r="AM7" s="3">
        <f>VLOOKUP(A7,'BASE PAN - CAPEX'!$A$3:$H$22,8,FALSE)</f>
        <v>1</v>
      </c>
      <c r="AN7" s="1">
        <f t="shared" si="1"/>
        <v>-98528355.233099997</v>
      </c>
    </row>
    <row r="8" spans="1:40" x14ac:dyDescent="0.25">
      <c r="A8" t="s">
        <v>53</v>
      </c>
      <c r="B8" t="s">
        <v>54</v>
      </c>
      <c r="C8">
        <v>292400</v>
      </c>
      <c r="D8" t="s">
        <v>55</v>
      </c>
      <c r="E8" t="s">
        <v>54</v>
      </c>
      <c r="F8" t="s">
        <v>34</v>
      </c>
      <c r="G8" t="s">
        <v>28</v>
      </c>
      <c r="H8" s="1">
        <f>VLOOKUP($A8,'RECEITAS - PAN'!$A$3:$H$23,8,FALSE)-VLOOKUP($A8,'OPEX - PAN'!$A$3:$H$23,8,FALSE)-VLOOKUP($A8,'CAPEX - PAN'!$A$3:$H$23,8,FALSE)</f>
        <v>-28798120.144183338</v>
      </c>
      <c r="I8" s="1">
        <f>VLOOKUP($A8,'RECEITAS - PAN'!$A$3:$I$23,9,FALSE)-VLOOKUP($A8,'OPEX - PAN'!$A$3:$I$23,9,FALSE)-VLOOKUP($A8,'CAPEX - PAN'!$A$3:$I$21,9,FALSE)</f>
        <v>-28848608.314671487</v>
      </c>
      <c r="J8" s="1">
        <f>VLOOKUP($A8,'RECEITAS - PAN'!$A$3:$J$23,10,FALSE)-VLOOKUP($A8,'OPEX - PAN'!$A$3:$J$23,10,FALSE)-VLOOKUP($A8,'CAPEX - PAN'!$A$3:$J$21,10,FALSE)</f>
        <v>-28784284.465533335</v>
      </c>
      <c r="K8" s="1">
        <f>VLOOKUP($A8,'RECEITAS - PAN'!$A$3:$K$23,11,FALSE)-VLOOKUP($A8,'OPEX - PAN'!$A$3:$K$23,11,FALSE)-VLOOKUP($A8,'CAPEX - PAN'!$A$3:$K$21,11,FALSE)</f>
        <v>-2315681.6439881506</v>
      </c>
      <c r="L8" s="1">
        <f>VLOOKUP($A8,'RECEITAS - PAN'!$A$3:$L$23,12,FALSE)-VLOOKUP($A8,'OPEX - PAN'!$A$3:$L$23,12,FALSE)-VLOOKUP($A8,'CAPEX - PAN'!$A$3:$L$21,12,FALSE)</f>
        <v>-2439051.5866000005</v>
      </c>
      <c r="M8" s="1">
        <f>VLOOKUP($A8,'RECEITAS - PAN'!$A$3:$M$23,13,FALSE)-VLOOKUP($A8,'OPEX - PAN'!$A$3:$M$23,13,FALSE)-VLOOKUP($A8,'CAPEX - PAN'!$A$3:$M$21,13,FALSE)</f>
        <v>-2288620.1678881506</v>
      </c>
      <c r="N8" s="1">
        <f>VLOOKUP($A8,'RECEITAS - PAN'!$A$3:$N$23,14,FALSE)-VLOOKUP($A8,'OPEX - PAN'!$A$3:$N$23,14,FALSE)-VLOOKUP($A8,'CAPEX - PAN'!$A$3:$N$21,14,FALSE)</f>
        <v>-2217848.1146</v>
      </c>
      <c r="O8" s="1">
        <f>VLOOKUP($A8,'RECEITAS - PAN'!$A$3:$O$23,15,FALSE)-VLOOKUP($A8,'OPEX - PAN'!$A$3:$O$23,15,FALSE)-VLOOKUP($A8,'CAPEX - PAN'!$A$3:$O$21,15,FALSE)</f>
        <v>-2457784.0096881506</v>
      </c>
      <c r="P8" s="1">
        <f>VLOOKUP($A8,'RECEITAS - PAN'!$A$3:$P$23,16,FALSE)-VLOOKUP($A8,'OPEX - PAN'!$A$3:$P$23,16,FALSE)-VLOOKUP($A8,'CAPEX - PAN'!$A$3:$P$21,16,FALSE)</f>
        <v>-2193358.0432000002</v>
      </c>
      <c r="Q8" s="1">
        <f>VLOOKUP($A8,'RECEITAS - PAN'!$A$3:$Q$23,17,FALSE)-VLOOKUP($A8,'OPEX - PAN'!$A$3:$Q$23,17,FALSE)-VLOOKUP($A8,'CAPEX - PAN'!$A$3:$Q$21,17,FALSE)</f>
        <v>-12097974.631388148</v>
      </c>
      <c r="R8" s="1">
        <f>VLOOKUP($A8,'RECEITAS - PAN'!$A$3:$R$23,18,FALSE)-VLOOKUP($A8,'OPEX - PAN'!$A$3:$R$23,18,FALSE)-VLOOKUP($A8,'CAPEX - PAN'!$A$3:$R$21,18,FALSE)</f>
        <v>-2168968.5044999998</v>
      </c>
      <c r="S8" s="1">
        <f>VLOOKUP($A8,'RECEITAS - PAN'!$A$3:$S$23,19,FALSE)-VLOOKUP($A8,'OPEX - PAN'!$A$3:$S$23,19,FALSE)-VLOOKUP($A8,'CAPEX - PAN'!$A$3:$S$21,19,FALSE)</f>
        <v>-2213948.9324881504</v>
      </c>
      <c r="T8" s="1">
        <f>VLOOKUP($A8,'RECEITAS - PAN'!$A$3:$T$23,20,FALSE)-VLOOKUP($A8,'OPEX - PAN'!$A$3:$T$23,20,FALSE)-VLOOKUP($A8,'CAPEX - PAN'!$A$3:$T$21,20,FALSE)</f>
        <v>-2143556.4991000001</v>
      </c>
      <c r="U8" s="1">
        <f>VLOOKUP($A8,'RECEITAS - PAN'!$A$3:$U$23,21,FALSE)-VLOOKUP($A8,'OPEX - PAN'!$A$3:$U$23,21,FALSE)-VLOOKUP($A8,'CAPEX - PAN'!$A$3:$U$21,21,FALSE)</f>
        <v>-2188216.12598815</v>
      </c>
      <c r="V8" s="1">
        <f>VLOOKUP($A8,'RECEITAS - PAN'!$A$3:$V$23,22,FALSE)-VLOOKUP($A8,'OPEX - PAN'!$A$3:$V$23,22,FALSE)-VLOOKUP($A8,'CAPEX - PAN'!$A$3:$V$21,22,FALSE)</f>
        <v>-7848087.8546000002</v>
      </c>
      <c r="W8" s="1">
        <f>VLOOKUP($A8,'RECEITAS - PAN'!$A$3:$W$23,23,FALSE)-VLOOKUP($A8,'OPEX - PAN'!$A$3:$W$23,23,FALSE)-VLOOKUP($A8,'CAPEX - PAN'!$A$3:$W$21,23,FALSE)</f>
        <v>-2161161.2103881501</v>
      </c>
      <c r="X8" s="1">
        <f>VLOOKUP($A8,'RECEITAS - PAN'!$A$3:$X$23,24,FALSE)-VLOOKUP($A8,'OPEX - PAN'!$A$3:$X$23,24,FALSE)-VLOOKUP($A8,'CAPEX - PAN'!$A$3:$X$21,24,FALSE)</f>
        <v>-2089385.8758</v>
      </c>
      <c r="Y8" s="1">
        <f>VLOOKUP($A8,'RECEITAS - PAN'!$A$3:$Y$23,25,FALSE)-VLOOKUP($A8,'OPEX - PAN'!$A$3:$Y$23,25,FALSE)-VLOOKUP($A8,'CAPEX - PAN'!$A$3:$Y$21,25,FALSE)</f>
        <v>-2327401.1430881503</v>
      </c>
      <c r="Z8" s="1">
        <f>VLOOKUP($A8,'RECEITAS - PAN'!$A$3:$Z$23,26,FALSE)-VLOOKUP($A8,'OPEX - PAN'!$A$3:$Z$23,26,FALSE)-VLOOKUP($A8,'CAPEX - PAN'!$A$3:$Z$21,26,FALSE)</f>
        <v>-2060584.4070000001</v>
      </c>
      <c r="AA8" s="1">
        <f>VLOOKUP($A8,'RECEITAS - PAN'!$A$3:$AA$23,27,FALSE)-VLOOKUP($A8,'OPEX - PAN'!$A$3:$AA$23,27,FALSE)-VLOOKUP($A8,'CAPEX - PAN'!$A$3:$AA$21,27,FALSE)</f>
        <v>-11962570.771488149</v>
      </c>
      <c r="AB8" s="1">
        <f>VLOOKUP($A8,'RECEITAS - PAN'!$A$3:$AB$23,28,FALSE)-VLOOKUP($A8,'OPEX - PAN'!$A$3:$AB$23,28,FALSE)-VLOOKUP($A8,'CAPEX - PAN'!$A$3:$AB$21,28,FALSE)</f>
        <v>-2031136.7485999998</v>
      </c>
      <c r="AC8" s="1">
        <f>VLOOKUP($A8,'RECEITAS - PAN'!$A$3:$AC$23,29,FALSE)-VLOOKUP($A8,'OPEX - PAN'!$A$3:$AC$23,29,FALSE)-VLOOKUP($A8,'CAPEX - PAN'!$A$3:$AC$21,29,FALSE)</f>
        <v>-2073745.5922881502</v>
      </c>
      <c r="AD8" s="1">
        <f>VLOOKUP($A8,'RECEITAS - PAN'!$A$3:$AD$23,30,FALSE)-VLOOKUP($A8,'OPEX - PAN'!$A$3:$AD$23,30,FALSE)-VLOOKUP($A8,'CAPEX - PAN'!$A$3:$AD$21,30,FALSE)</f>
        <v>-2001048.3238000001</v>
      </c>
      <c r="AE8" s="1">
        <f>VLOOKUP($A8,'RECEITAS - PAN'!$A$3:$AE$23,31,FALSE)-VLOOKUP($A8,'OPEX - PAN'!$A$3:$AE$23,31,FALSE)-VLOOKUP($A8,'CAPEX - PAN'!$A$3:$AE$21,31,FALSE)</f>
        <v>-2043592.9254881502</v>
      </c>
      <c r="AF8" s="1">
        <f>VLOOKUP($A8,'RECEITAS - PAN'!$A$3:$AF$23,32,FALSE)-VLOOKUP($A8,'OPEX - PAN'!$A$3:$AF$23,32,FALSE)-VLOOKUP($A8,'CAPEX - PAN'!$A$3:$AF$21,32,FALSE)</f>
        <v>-2165439.801</v>
      </c>
      <c r="AG8" s="1">
        <f>VLOOKUP($A8,'RECEITAS - PAN'!$A$3:$AG$23,33,FALSE)-VLOOKUP($A8,'OPEX - PAN'!$A$3:$AG$23,33,FALSE)-VLOOKUP($A8,'CAPEX - PAN'!$A$3:$AG$21,33,FALSE)</f>
        <v>-2013272.9769881503</v>
      </c>
      <c r="AH8" s="1">
        <f>VLOOKUP($A8,'RECEITAS - PAN'!$A$3:$AH$23,34,FALSE)-VLOOKUP($A8,'OPEX - PAN'!$A$3:$AH$23,34,FALSE)-VLOOKUP($A8,'CAPEX - PAN'!$A$3:$AH$21,34,FALSE)</f>
        <v>-1939897.8159000003</v>
      </c>
      <c r="AI8" s="1">
        <f>VLOOKUP($A8,'RECEITAS - PAN'!$A$3:$AI$23,35,FALSE)-VLOOKUP($A8,'OPEX - PAN'!$A$3:$AI$23,35,FALSE)-VLOOKUP($A8,'CAPEX - PAN'!$A$3:$AI$21,35,FALSE)</f>
        <v>-2176051.9825881501</v>
      </c>
      <c r="AJ8" s="1">
        <f>VLOOKUP($A8,'RECEITAS - PAN'!$A$3:$AJ$21,36,FALSE)-VLOOKUP($A8,'OPEX - PAN'!$A$3:$AJ$21,36,FALSE)-VLOOKUP($A8,'CAPEX - PAN'!$A$3:$AJ$21,36,FALSE)</f>
        <v>-1919075.4316992052</v>
      </c>
      <c r="AK8" s="1">
        <f>VLOOKUP($A8,'RECEITAS - PAN'!$A$3:$AK$21,37,FALSE)-VLOOKUP($A8,'OPEX - PAN'!$A$3:$AK$21,37,FALSE)-VLOOKUP($A8,'CAPEX - PAN'!$A$3:$AK$21,37,FALSE)</f>
        <v>-1963038.2518269252</v>
      </c>
      <c r="AL8" s="12">
        <f t="shared" si="2"/>
        <v>-169931512.29636022</v>
      </c>
      <c r="AM8" s="3">
        <f>VLOOKUP(A8,'BASE PAN - CAPEX'!$A$3:$H$22,8,FALSE)</f>
        <v>3</v>
      </c>
      <c r="AN8" s="1">
        <f t="shared" si="1"/>
        <v>-129004109.03841706</v>
      </c>
    </row>
    <row r="9" spans="1:40" x14ac:dyDescent="0.25">
      <c r="A9" t="s">
        <v>56</v>
      </c>
      <c r="B9" t="s">
        <v>96</v>
      </c>
      <c r="C9">
        <v>110030</v>
      </c>
      <c r="D9" t="s">
        <v>58</v>
      </c>
      <c r="E9" t="s">
        <v>57</v>
      </c>
      <c r="F9" t="s">
        <v>25</v>
      </c>
      <c r="G9" t="s">
        <v>28</v>
      </c>
      <c r="H9" s="1">
        <f>VLOOKUP($A9,'RECEITAS - PAN'!$A$3:$H$23,8,FALSE)-VLOOKUP($A9,'OPEX - PAN'!$A$3:$H$23,8,FALSE)-VLOOKUP($A9,'CAPEX - PAN'!$A$3:$H$23,8,FALSE)</f>
        <v>-29926146.296599995</v>
      </c>
      <c r="I9" s="1">
        <f>VLOOKUP($A9,'RECEITAS - PAN'!$A$3:$I$23,9,FALSE)-VLOOKUP($A9,'OPEX - PAN'!$A$3:$I$23,9,FALSE)-VLOOKUP($A9,'CAPEX - PAN'!$A$3:$I$21,9,FALSE)</f>
        <v>-12437334.599031007</v>
      </c>
      <c r="J9" s="1">
        <f>VLOOKUP($A9,'RECEITAS - PAN'!$A$3:$J$23,10,FALSE)-VLOOKUP($A9,'OPEX - PAN'!$A$3:$J$23,10,FALSE)-VLOOKUP($A9,'CAPEX - PAN'!$A$3:$J$21,10,FALSE)</f>
        <v>-12336573.24515</v>
      </c>
      <c r="K9" s="1">
        <f>VLOOKUP($A9,'RECEITAS - PAN'!$A$3:$K$23,11,FALSE)-VLOOKUP($A9,'OPEX - PAN'!$A$3:$K$23,11,FALSE)-VLOOKUP($A9,'CAPEX - PAN'!$A$3:$K$21,11,FALSE)</f>
        <v>-3597126.2054310059</v>
      </c>
      <c r="L9" s="1">
        <f>VLOOKUP($A9,'RECEITAS - PAN'!$A$3:$L$23,12,FALSE)-VLOOKUP($A9,'OPEX - PAN'!$A$3:$L$23,12,FALSE)-VLOOKUP($A9,'CAPEX - PAN'!$A$3:$L$21,12,FALSE)</f>
        <v>-3708017.1589000002</v>
      </c>
      <c r="M9" s="1">
        <f>VLOOKUP($A9,'RECEITAS - PAN'!$A$3:$M$23,13,FALSE)-VLOOKUP($A9,'OPEX - PAN'!$A$3:$M$23,13,FALSE)-VLOOKUP($A9,'CAPEX - PAN'!$A$3:$M$21,13,FALSE)</f>
        <v>-3538481.4903310053</v>
      </c>
      <c r="N9" s="1">
        <f>VLOOKUP($A9,'RECEITAS - PAN'!$A$3:$N$23,14,FALSE)-VLOOKUP($A9,'OPEX - PAN'!$A$3:$N$23,14,FALSE)-VLOOKUP($A9,'CAPEX - PAN'!$A$3:$N$21,14,FALSE)</f>
        <v>-3425611.1266999999</v>
      </c>
      <c r="O9" s="1">
        <f>VLOOKUP($A9,'RECEITAS - PAN'!$A$3:$O$23,15,FALSE)-VLOOKUP($A9,'OPEX - PAN'!$A$3:$O$23,15,FALSE)-VLOOKUP($A9,'CAPEX - PAN'!$A$3:$O$21,15,FALSE)</f>
        <v>-3712523.9803310055</v>
      </c>
      <c r="P9" s="1">
        <f>VLOOKUP($A9,'RECEITAS - PAN'!$A$3:$P$23,16,FALSE)-VLOOKUP($A9,'OPEX - PAN'!$A$3:$P$23,16,FALSE)-VLOOKUP($A9,'CAPEX - PAN'!$A$3:$P$21,16,FALSE)</f>
        <v>-3376297.6651999997</v>
      </c>
      <c r="Q9" s="1">
        <f>VLOOKUP($A9,'RECEITAS - PAN'!$A$3:$Q$23,17,FALSE)-VLOOKUP($A9,'OPEX - PAN'!$A$3:$Q$23,17,FALSE)-VLOOKUP($A9,'CAPEX - PAN'!$A$3:$Q$21,17,FALSE)</f>
        <v>-14540196.854131008</v>
      </c>
      <c r="R9" s="1">
        <f>VLOOKUP($A9,'RECEITAS - PAN'!$A$3:$R$23,18,FALSE)-VLOOKUP($A9,'OPEX - PAN'!$A$3:$R$23,18,FALSE)-VLOOKUP($A9,'CAPEX - PAN'!$A$3:$R$21,18,FALSE)</f>
        <v>-3328569.4325999995</v>
      </c>
      <c r="S9" s="1">
        <f>VLOOKUP($A9,'RECEITAS - PAN'!$A$3:$S$23,19,FALSE)-VLOOKUP($A9,'OPEX - PAN'!$A$3:$S$23,19,FALSE)-VLOOKUP($A9,'CAPEX - PAN'!$A$3:$S$21,19,FALSE)</f>
        <v>-3389725.5545310052</v>
      </c>
      <c r="T9" s="1">
        <f>VLOOKUP($A9,'RECEITAS - PAN'!$A$3:$T$23,20,FALSE)-VLOOKUP($A9,'OPEX - PAN'!$A$3:$T$23,20,FALSE)-VLOOKUP($A9,'CAPEX - PAN'!$A$3:$T$21,20,FALSE)</f>
        <v>-3279729.4557999996</v>
      </c>
      <c r="U9" s="1">
        <f>VLOOKUP($A9,'RECEITAS - PAN'!$A$3:$U$23,21,FALSE)-VLOOKUP($A9,'OPEX - PAN'!$A$3:$U$23,21,FALSE)-VLOOKUP($A9,'CAPEX - PAN'!$A$3:$U$21,21,FALSE)</f>
        <v>-3340641.5364310062</v>
      </c>
      <c r="V9" s="1">
        <f>VLOOKUP($A9,'RECEITAS - PAN'!$A$3:$V$23,22,FALSE)-VLOOKUP($A9,'OPEX - PAN'!$A$3:$V$23,22,FALSE)-VLOOKUP($A9,'CAPEX - PAN'!$A$3:$V$21,22,FALSE)</f>
        <v>-10551767.818700001</v>
      </c>
      <c r="W9" s="1">
        <f>VLOOKUP($A9,'RECEITAS - PAN'!$A$3:$W$23,23,FALSE)-VLOOKUP($A9,'OPEX - PAN'!$A$3:$W$23,23,FALSE)-VLOOKUP($A9,'CAPEX - PAN'!$A$3:$W$21,23,FALSE)</f>
        <v>-3290119.0159310056</v>
      </c>
      <c r="X9" s="1">
        <f>VLOOKUP($A9,'RECEITAS - PAN'!$A$3:$X$23,24,FALSE)-VLOOKUP($A9,'OPEX - PAN'!$A$3:$X$23,24,FALSE)-VLOOKUP($A9,'CAPEX - PAN'!$A$3:$X$21,24,FALSE)</f>
        <v>-3178072.0068999999</v>
      </c>
      <c r="Y9" s="1">
        <f>VLOOKUP($A9,'RECEITAS - PAN'!$A$3:$Y$23,25,FALSE)-VLOOKUP($A9,'OPEX - PAN'!$A$3:$Y$23,25,FALSE)-VLOOKUP($A9,'CAPEX - PAN'!$A$3:$Y$21,25,FALSE)</f>
        <v>-3463656.1907310053</v>
      </c>
      <c r="Z9" s="1">
        <f>VLOOKUP($A9,'RECEITAS - PAN'!$A$3:$Z$23,26,FALSE)-VLOOKUP($A9,'OPEX - PAN'!$A$3:$Z$23,26,FALSE)-VLOOKUP($A9,'CAPEX - PAN'!$A$3:$Z$21,26,FALSE)</f>
        <v>-3125327.3682000004</v>
      </c>
      <c r="AA9" s="1">
        <f>VLOOKUP($A9,'RECEITAS - PAN'!$A$3:$AA$23,27,FALSE)-VLOOKUP($A9,'OPEX - PAN'!$A$3:$AA$23,27,FALSE)-VLOOKUP($A9,'CAPEX - PAN'!$A$3:$AA$21,27,FALSE)</f>
        <v>-14286556.700031009</v>
      </c>
      <c r="AB9" s="1">
        <f>VLOOKUP($A9,'RECEITAS - PAN'!$A$3:$AB$23,28,FALSE)-VLOOKUP($A9,'OPEX - PAN'!$A$3:$AB$23,28,FALSE)-VLOOKUP($A9,'CAPEX - PAN'!$A$3:$AB$21,28,FALSE)</f>
        <v>-3072299.0547999996</v>
      </c>
      <c r="AC9" s="1">
        <f>VLOOKUP($A9,'RECEITAS - PAN'!$A$3:$AC$23,29,FALSE)-VLOOKUP($A9,'OPEX - PAN'!$A$3:$AC$23,29,FALSE)-VLOOKUP($A9,'CAPEX - PAN'!$A$3:$AC$21,29,FALSE)</f>
        <v>-3132351.3575310055</v>
      </c>
      <c r="AD9" s="1">
        <f>VLOOKUP($A9,'RECEITAS - PAN'!$A$3:$AD$23,30,FALSE)-VLOOKUP($A9,'OPEX - PAN'!$A$3:$AD$23,30,FALSE)-VLOOKUP($A9,'CAPEX - PAN'!$A$3:$AD$21,30,FALSE)</f>
        <v>-3022056.9860999999</v>
      </c>
      <c r="AE9" s="1">
        <f>VLOOKUP($A9,'RECEITAS - PAN'!$A$3:$AE$23,31,FALSE)-VLOOKUP($A9,'OPEX - PAN'!$A$3:$AE$23,31,FALSE)-VLOOKUP($A9,'CAPEX - PAN'!$A$3:$AE$21,31,FALSE)</f>
        <v>-3083213.1080310056</v>
      </c>
      <c r="AF9" s="1">
        <f>VLOOKUP($A9,'RECEITAS - PAN'!$A$3:$AF$23,32,FALSE)-VLOOKUP($A9,'OPEX - PAN'!$A$3:$AF$23,32,FALSE)-VLOOKUP($A9,'CAPEX - PAN'!$A$3:$AF$21,32,FALSE)</f>
        <v>-3200193.947900001</v>
      </c>
      <c r="AG9" s="1">
        <f>VLOOKUP($A9,'RECEITAS - PAN'!$A$3:$AG$23,33,FALSE)-VLOOKUP($A9,'OPEX - PAN'!$A$3:$AG$23,33,FALSE)-VLOOKUP($A9,'CAPEX - PAN'!$A$3:$AG$21,33,FALSE)</f>
        <v>-3035526.5889310054</v>
      </c>
      <c r="AH9" s="1">
        <f>VLOOKUP($A9,'RECEITAS - PAN'!$A$3:$AH$23,34,FALSE)-VLOOKUP($A9,'OPEX - PAN'!$A$3:$AH$23,34,FALSE)-VLOOKUP($A9,'CAPEX - PAN'!$A$3:$AH$21,34,FALSE)</f>
        <v>-2925460.2911</v>
      </c>
      <c r="AI9" s="1">
        <f>VLOOKUP($A9,'RECEITAS - PAN'!$A$3:$AI$23,35,FALSE)-VLOOKUP($A9,'OPEX - PAN'!$A$3:$AI$23,35,FALSE)-VLOOKUP($A9,'CAPEX - PAN'!$A$3:$AI$21,35,FALSE)</f>
        <v>-3212888.3430310055</v>
      </c>
      <c r="AJ9" s="1">
        <f>VLOOKUP($A9,'RECEITAS - PAN'!$A$3:$AJ$21,36,FALSE)-VLOOKUP($A9,'OPEX - PAN'!$A$3:$AJ$21,36,FALSE)-VLOOKUP($A9,'CAPEX - PAN'!$A$3:$AJ$21,36,FALSE)</f>
        <v>-2868455.7852817513</v>
      </c>
      <c r="AK9" s="1">
        <f>VLOOKUP($A9,'RECEITAS - PAN'!$A$3:$AK$21,37,FALSE)-VLOOKUP($A9,'OPEX - PAN'!$A$3:$AK$21,37,FALSE)-VLOOKUP($A9,'CAPEX - PAN'!$A$3:$AK$21,37,FALSE)</f>
        <v>-2930305.5504426798</v>
      </c>
      <c r="AL9" s="12">
        <f t="shared" si="2"/>
        <v>-172315224.71480849</v>
      </c>
      <c r="AM9" s="3">
        <f>VLOOKUP(A9,'BASE PAN - CAPEX'!$A$3:$H$22,8,FALSE)</f>
        <v>3</v>
      </c>
      <c r="AN9" s="1">
        <f t="shared" si="1"/>
        <v>-114488742.41986704</v>
      </c>
    </row>
    <row r="10" spans="1:40" x14ac:dyDescent="0.25">
      <c r="A10" t="s">
        <v>63</v>
      </c>
      <c r="B10" t="s">
        <v>66</v>
      </c>
      <c r="C10">
        <v>291170</v>
      </c>
      <c r="D10" t="s">
        <v>65</v>
      </c>
      <c r="E10" t="s">
        <v>66</v>
      </c>
      <c r="F10" t="s">
        <v>34</v>
      </c>
      <c r="G10" t="s">
        <v>28</v>
      </c>
      <c r="H10" s="1">
        <f>VLOOKUP($A10,'RECEITAS - PAN'!$A$3:$H$23,8,FALSE)-VLOOKUP($A10,'OPEX - PAN'!$A$3:$H$23,8,FALSE)-VLOOKUP($A10,'CAPEX - PAN'!$A$3:$H$23,8,FALSE)</f>
        <v>-22635758.546116669</v>
      </c>
      <c r="I10" s="1">
        <f>VLOOKUP($A10,'RECEITAS - PAN'!$A$3:$I$23,9,FALSE)-VLOOKUP($A10,'OPEX - PAN'!$A$3:$I$23,9,FALSE)-VLOOKUP($A10,'CAPEX - PAN'!$A$3:$I$21,9,FALSE)</f>
        <v>-21810870.268721648</v>
      </c>
      <c r="J10" s="1">
        <f>VLOOKUP($A10,'RECEITAS - PAN'!$A$3:$J$23,10,FALSE)-VLOOKUP($A10,'OPEX - PAN'!$A$3:$J$23,10,FALSE)-VLOOKUP($A10,'CAPEX - PAN'!$A$3:$J$21,10,FALSE)</f>
        <v>-21737591.262766667</v>
      </c>
      <c r="K10" s="1">
        <f>VLOOKUP($A10,'RECEITAS - PAN'!$A$3:$K$23,11,FALSE)-VLOOKUP($A10,'OPEX - PAN'!$A$3:$K$23,11,FALSE)-VLOOKUP($A10,'CAPEX - PAN'!$A$3:$K$21,11,FALSE)</f>
        <v>-642732.94870498253</v>
      </c>
      <c r="L10" s="1">
        <f>VLOOKUP($A10,'RECEITAS - PAN'!$A$3:$L$23,12,FALSE)-VLOOKUP($A10,'OPEX - PAN'!$A$3:$L$23,12,FALSE)-VLOOKUP($A10,'CAPEX - PAN'!$A$3:$L$21,12,FALSE)</f>
        <v>-754901.12380000018</v>
      </c>
      <c r="M10" s="1">
        <f>VLOOKUP($A10,'RECEITAS - PAN'!$A$3:$M$23,13,FALSE)-VLOOKUP($A10,'OPEX - PAN'!$A$3:$M$23,13,FALSE)-VLOOKUP($A10,'CAPEX - PAN'!$A$3:$M$21,13,FALSE)</f>
        <v>-598647.89180498256</v>
      </c>
      <c r="N10" s="1">
        <f>VLOOKUP($A10,'RECEITAS - PAN'!$A$3:$N$23,14,FALSE)-VLOOKUP($A10,'OPEX - PAN'!$A$3:$N$23,14,FALSE)-VLOOKUP($A10,'CAPEX - PAN'!$A$3:$N$21,14,FALSE)</f>
        <v>-513261.72680000006</v>
      </c>
      <c r="O10" s="1">
        <f>VLOOKUP($A10,'RECEITAS - PAN'!$A$3:$O$23,15,FALSE)-VLOOKUP($A10,'OPEX - PAN'!$A$3:$O$23,15,FALSE)-VLOOKUP($A10,'CAPEX - PAN'!$A$3:$O$21,15,FALSE)</f>
        <v>-752132.17310498271</v>
      </c>
      <c r="P10" s="1">
        <f>VLOOKUP($A10,'RECEITAS - PAN'!$A$3:$P$23,16,FALSE)-VLOOKUP($A10,'OPEX - PAN'!$A$3:$P$23,16,FALSE)-VLOOKUP($A10,'CAPEX - PAN'!$A$3:$P$21,16,FALSE)</f>
        <v>-469191.66809999989</v>
      </c>
      <c r="Q10" s="1">
        <f>VLOOKUP($A10,'RECEITAS - PAN'!$A$3:$Q$23,17,FALSE)-VLOOKUP($A10,'OPEX - PAN'!$A$3:$Q$23,17,FALSE)-VLOOKUP($A10,'CAPEX - PAN'!$A$3:$Q$21,17,FALSE)</f>
        <v>-7354801.1644049818</v>
      </c>
      <c r="R10" s="1">
        <f>VLOOKUP($A10,'RECEITAS - PAN'!$A$3:$R$23,18,FALSE)-VLOOKUP($A10,'OPEX - PAN'!$A$3:$R$23,18,FALSE)-VLOOKUP($A10,'CAPEX - PAN'!$A$3:$R$21,18,FALSE)</f>
        <v>-425121.60960000008</v>
      </c>
      <c r="S10" s="1">
        <f>VLOOKUP($A10,'RECEITAS - PAN'!$A$3:$S$23,19,FALSE)-VLOOKUP($A10,'OPEX - PAN'!$A$3:$S$23,19,FALSE)-VLOOKUP($A10,'CAPEX - PAN'!$A$3:$S$21,19,FALSE)</f>
        <v>-466422.71740498272</v>
      </c>
      <c r="T10" s="1">
        <f>VLOOKUP($A10,'RECEITAS - PAN'!$A$3:$T$23,20,FALSE)-VLOOKUP($A10,'OPEX - PAN'!$A$3:$T$23,20,FALSE)-VLOOKUP($A10,'CAPEX - PAN'!$A$3:$T$21,20,FALSE)</f>
        <v>-381036.55249999999</v>
      </c>
      <c r="U10" s="1">
        <f>VLOOKUP($A10,'RECEITAS - PAN'!$A$3:$U$23,21,FALSE)-VLOOKUP($A10,'OPEX - PAN'!$A$3:$U$23,21,FALSE)-VLOOKUP($A10,'CAPEX - PAN'!$A$3:$U$21,21,FALSE)</f>
        <v>-422352.65870498255</v>
      </c>
      <c r="V10" s="1">
        <f>VLOOKUP($A10,'RECEITAS - PAN'!$A$3:$V$23,22,FALSE)-VLOOKUP($A10,'OPEX - PAN'!$A$3:$V$23,22,FALSE)-VLOOKUP($A10,'CAPEX - PAN'!$A$3:$V$21,22,FALSE)</f>
        <v>-6070799.1338999998</v>
      </c>
      <c r="W10" s="1">
        <f>VLOOKUP($A10,'RECEITAS - PAN'!$A$3:$W$23,23,FALSE)-VLOOKUP($A10,'OPEX - PAN'!$A$3:$W$23,23,FALSE)-VLOOKUP($A10,'CAPEX - PAN'!$A$3:$W$21,23,FALSE)</f>
        <v>-378282.60010498267</v>
      </c>
      <c r="X10" s="1">
        <f>VLOOKUP($A10,'RECEITAS - PAN'!$A$3:$X$23,24,FALSE)-VLOOKUP($A10,'OPEX - PAN'!$A$3:$X$23,24,FALSE)-VLOOKUP($A10,'CAPEX - PAN'!$A$3:$X$21,24,FALSE)</f>
        <v>-292896.43520000018</v>
      </c>
      <c r="Y10" s="1">
        <f>VLOOKUP($A10,'RECEITAS - PAN'!$A$3:$Y$23,25,FALSE)-VLOOKUP($A10,'OPEX - PAN'!$A$3:$Y$23,25,FALSE)-VLOOKUP($A10,'CAPEX - PAN'!$A$3:$Y$21,25,FALSE)</f>
        <v>-531751.88320498273</v>
      </c>
      <c r="Z10" s="1">
        <f>VLOOKUP($A10,'RECEITAS - PAN'!$A$3:$Z$23,26,FALSE)-VLOOKUP($A10,'OPEX - PAN'!$A$3:$Z$23,26,FALSE)-VLOOKUP($A10,'CAPEX - PAN'!$A$3:$Z$21,26,FALSE)</f>
        <v>-248811.37820000015</v>
      </c>
      <c r="AA10" s="1">
        <f>VLOOKUP($A10,'RECEITAS - PAN'!$A$3:$AA$23,27,FALSE)-VLOOKUP($A10,'OPEX - PAN'!$A$3:$AA$23,27,FALSE)-VLOOKUP($A10,'CAPEX - PAN'!$A$3:$AA$21,27,FALSE)</f>
        <v>-7134420.8745049816</v>
      </c>
      <c r="AB10" s="1">
        <f>VLOOKUP($A10,'RECEITAS - PAN'!$A$3:$AB$23,28,FALSE)-VLOOKUP($A10,'OPEX - PAN'!$A$3:$AB$23,28,FALSE)-VLOOKUP($A10,'CAPEX - PAN'!$A$3:$AB$21,28,FALSE)</f>
        <v>-204741.31949999998</v>
      </c>
      <c r="AC10" s="1">
        <f>VLOOKUP($A10,'RECEITAS - PAN'!$A$3:$AC$23,29,FALSE)-VLOOKUP($A10,'OPEX - PAN'!$A$3:$AC$23,29,FALSE)-VLOOKUP($A10,'CAPEX - PAN'!$A$3:$AC$21,29,FALSE)</f>
        <v>-246057.42580498283</v>
      </c>
      <c r="AD10" s="1">
        <f>VLOOKUP($A10,'RECEITAS - PAN'!$A$3:$AD$23,30,FALSE)-VLOOKUP($A10,'OPEX - PAN'!$A$3:$AD$23,30,FALSE)-VLOOKUP($A10,'CAPEX - PAN'!$A$3:$AD$21,30,FALSE)</f>
        <v>-160671.26079999981</v>
      </c>
      <c r="AE10" s="1">
        <f>VLOOKUP($A10,'RECEITAS - PAN'!$A$3:$AE$23,31,FALSE)-VLOOKUP($A10,'OPEX - PAN'!$A$3:$AE$23,31,FALSE)-VLOOKUP($A10,'CAPEX - PAN'!$A$3:$AE$21,31,FALSE)</f>
        <v>-201972.36880498281</v>
      </c>
      <c r="AF10" s="1">
        <f>VLOOKUP($A10,'RECEITAS - PAN'!$A$3:$AF$23,32,FALSE)-VLOOKUP($A10,'OPEX - PAN'!$A$3:$AF$23,32,FALSE)-VLOOKUP($A10,'CAPEX - PAN'!$A$3:$AF$21,32,FALSE)</f>
        <v>-314140.54389999987</v>
      </c>
      <c r="AG10" s="1">
        <f>VLOOKUP($A10,'RECEITAS - PAN'!$A$3:$AG$23,33,FALSE)-VLOOKUP($A10,'OPEX - PAN'!$A$3:$AG$23,33,FALSE)-VLOOKUP($A10,'CAPEX - PAN'!$A$3:$AG$21,33,FALSE)</f>
        <v>-157902.31010498264</v>
      </c>
      <c r="AH10" s="1">
        <f>VLOOKUP($A10,'RECEITAS - PAN'!$A$3:$AH$23,34,FALSE)-VLOOKUP($A10,'OPEX - PAN'!$A$3:$AH$23,34,FALSE)-VLOOKUP($A10,'CAPEX - PAN'!$A$3:$AH$21,34,FALSE)</f>
        <v>-72516.145200000145</v>
      </c>
      <c r="AI10" s="1">
        <f>VLOOKUP($A10,'RECEITAS - PAN'!$A$3:$AI$23,35,FALSE)-VLOOKUP($A10,'OPEX - PAN'!$A$3:$AI$23,35,FALSE)-VLOOKUP($A10,'CAPEX - PAN'!$A$3:$AI$21,35,FALSE)</f>
        <v>-311386.59150498279</v>
      </c>
      <c r="AJ10" s="1">
        <f>VLOOKUP($A10,'RECEITAS - PAN'!$A$3:$AJ$21,36,FALSE)-VLOOKUP($A10,'OPEX - PAN'!$A$3:$AJ$21,36,FALSE)-VLOOKUP($A10,'CAPEX - PAN'!$A$3:$AJ$21,36,FALSE)</f>
        <v>-27915.134169840254</v>
      </c>
      <c r="AK10" s="1">
        <f>VLOOKUP($A10,'RECEITAS - PAN'!$A$3:$AK$21,37,FALSE)-VLOOKUP($A10,'OPEX - PAN'!$A$3:$AK$21,37,FALSE)-VLOOKUP($A10,'CAPEX - PAN'!$A$3:$AK$21,37,FALSE)</f>
        <v>-69678.48621574782</v>
      </c>
      <c r="AL10" s="12">
        <f t="shared" si="2"/>
        <v>-95388766.203655317</v>
      </c>
      <c r="AM10" s="3">
        <f>VLOOKUP(A10,'BASE PAN - CAPEX'!$A$3:$H$22,8,FALSE)</f>
        <v>3</v>
      </c>
      <c r="AN10" s="1">
        <f t="shared" si="1"/>
        <v>-85035621.446434855</v>
      </c>
    </row>
    <row r="11" spans="1:40" x14ac:dyDescent="0.25">
      <c r="A11" t="s">
        <v>67</v>
      </c>
      <c r="B11" t="s">
        <v>98</v>
      </c>
      <c r="C11">
        <v>261390</v>
      </c>
      <c r="D11" t="s">
        <v>69</v>
      </c>
      <c r="E11" t="s">
        <v>70</v>
      </c>
      <c r="F11" t="s">
        <v>31</v>
      </c>
      <c r="G11" t="s">
        <v>28</v>
      </c>
      <c r="H11" s="1">
        <f>VLOOKUP($A11,'RECEITAS - PAN'!$A$3:$H$23,8,FALSE)-VLOOKUP($A11,'OPEX - PAN'!$A$3:$H$23,8,FALSE)-VLOOKUP($A11,'CAPEX - PAN'!$A$3:$H$23,8,FALSE)</f>
        <v>-8598359.7709833346</v>
      </c>
      <c r="I11" s="1">
        <f>VLOOKUP($A11,'RECEITAS - PAN'!$A$3:$I$23,9,FALSE)-VLOOKUP($A11,'OPEX - PAN'!$A$3:$I$23,9,FALSE)-VLOOKUP($A11,'CAPEX - PAN'!$A$3:$I$21,9,FALSE)</f>
        <v>-7719711.4579333337</v>
      </c>
      <c r="J11" s="1">
        <f>VLOOKUP($A11,'RECEITAS - PAN'!$A$3:$J$23,10,FALSE)-VLOOKUP($A11,'OPEX - PAN'!$A$3:$J$23,10,FALSE)-VLOOKUP($A11,'CAPEX - PAN'!$A$3:$J$21,10,FALSE)</f>
        <v>-7716608.9452333339</v>
      </c>
      <c r="K11" s="1">
        <f>VLOOKUP($A11,'RECEITAS - PAN'!$A$3:$K$23,11,FALSE)-VLOOKUP($A11,'OPEX - PAN'!$A$3:$K$23,11,FALSE)-VLOOKUP($A11,'CAPEX - PAN'!$A$3:$K$21,11,FALSE)</f>
        <v>-889797.35769999993</v>
      </c>
      <c r="L11" s="1">
        <f>VLOOKUP($A11,'RECEITAS - PAN'!$A$3:$L$23,12,FALSE)-VLOOKUP($A11,'OPEX - PAN'!$A$3:$L$23,12,FALSE)-VLOOKUP($A11,'CAPEX - PAN'!$A$3:$L$21,12,FALSE)</f>
        <v>-1057136.5183000001</v>
      </c>
      <c r="M11" s="1">
        <f>VLOOKUP($A11,'RECEITAS - PAN'!$A$3:$M$23,13,FALSE)-VLOOKUP($A11,'OPEX - PAN'!$A$3:$M$23,13,FALSE)-VLOOKUP($A11,'CAPEX - PAN'!$A$3:$M$21,13,FALSE)</f>
        <v>-877896.00430000015</v>
      </c>
      <c r="N11" s="1">
        <f>VLOOKUP($A11,'RECEITAS - PAN'!$A$3:$N$23,14,FALSE)-VLOOKUP($A11,'OPEX - PAN'!$A$3:$N$23,14,FALSE)-VLOOKUP($A11,'CAPEX - PAN'!$A$3:$N$21,14,FALSE)</f>
        <v>-872365.22179999994</v>
      </c>
      <c r="O11" s="1">
        <f>VLOOKUP($A11,'RECEITAS - PAN'!$A$3:$O$23,15,FALSE)-VLOOKUP($A11,'OPEX - PAN'!$A$3:$O$23,15,FALSE)-VLOOKUP($A11,'CAPEX - PAN'!$A$3:$O$21,15,FALSE)</f>
        <v>-1040569.9457</v>
      </c>
      <c r="P11" s="1">
        <f>VLOOKUP($A11,'RECEITAS - PAN'!$A$3:$P$23,16,FALSE)-VLOOKUP($A11,'OPEX - PAN'!$A$3:$P$23,16,FALSE)-VLOOKUP($A11,'CAPEX - PAN'!$A$3:$P$21,16,FALSE)</f>
        <v>-862463.51809999999</v>
      </c>
      <c r="Q11" s="1">
        <f>VLOOKUP($A11,'RECEITAS - PAN'!$A$3:$Q$23,17,FALSE)-VLOOKUP($A11,'OPEX - PAN'!$A$3:$Q$23,17,FALSE)-VLOOKUP($A11,'CAPEX - PAN'!$A$3:$Q$21,17,FALSE)</f>
        <v>-7293795.7220999999</v>
      </c>
      <c r="R11" s="1">
        <f>VLOOKUP($A11,'RECEITAS - PAN'!$A$3:$R$23,18,FALSE)-VLOOKUP($A11,'OPEX - PAN'!$A$3:$R$23,18,FALSE)-VLOOKUP($A11,'CAPEX - PAN'!$A$3:$R$21,18,FALSE)</f>
        <v>-853062.30989999999</v>
      </c>
      <c r="S11" s="1">
        <f>VLOOKUP($A11,'RECEITAS - PAN'!$A$3:$S$23,19,FALSE)-VLOOKUP($A11,'OPEX - PAN'!$A$3:$S$23,19,FALSE)-VLOOKUP($A11,'CAPEX - PAN'!$A$3:$S$21,19,FALSE)</f>
        <v>-848253.21870000008</v>
      </c>
      <c r="T11" s="1">
        <f>VLOOKUP($A11,'RECEITAS - PAN'!$A$3:$T$23,20,FALSE)-VLOOKUP($A11,'OPEX - PAN'!$A$3:$T$23,20,FALSE)-VLOOKUP($A11,'CAPEX - PAN'!$A$3:$T$21,20,FALSE)</f>
        <v>-843573.00120000006</v>
      </c>
      <c r="U11" s="1">
        <f>VLOOKUP($A11,'RECEITAS - PAN'!$A$3:$U$23,21,FALSE)-VLOOKUP($A11,'OPEX - PAN'!$A$3:$U$23,21,FALSE)-VLOOKUP($A11,'CAPEX - PAN'!$A$3:$U$21,21,FALSE)</f>
        <v>-838841.23419999995</v>
      </c>
      <c r="V11" s="1">
        <f>VLOOKUP($A11,'RECEITAS - PAN'!$A$3:$V$23,22,FALSE)-VLOOKUP($A11,'OPEX - PAN'!$A$3:$V$23,22,FALSE)-VLOOKUP($A11,'CAPEX - PAN'!$A$3:$V$21,22,FALSE)</f>
        <v>-6636372.0832000002</v>
      </c>
      <c r="W11" s="1">
        <f>VLOOKUP($A11,'RECEITAS - PAN'!$A$3:$W$23,23,FALSE)-VLOOKUP($A11,'OPEX - PAN'!$A$3:$W$23,23,FALSE)-VLOOKUP($A11,'CAPEX - PAN'!$A$3:$W$21,23,FALSE)</f>
        <v>-829171.50270000007</v>
      </c>
      <c r="X11" s="1">
        <f>VLOOKUP($A11,'RECEITAS - PAN'!$A$3:$X$23,24,FALSE)-VLOOKUP($A11,'OPEX - PAN'!$A$3:$X$23,24,FALSE)-VLOOKUP($A11,'CAPEX - PAN'!$A$3:$X$21,24,FALSE)</f>
        <v>-824465.51040000003</v>
      </c>
      <c r="Y11" s="1">
        <f>VLOOKUP($A11,'RECEITAS - PAN'!$A$3:$Y$23,25,FALSE)-VLOOKUP($A11,'OPEX - PAN'!$A$3:$Y$23,25,FALSE)-VLOOKUP($A11,'CAPEX - PAN'!$A$3:$Y$21,25,FALSE)</f>
        <v>-992964.53229999996</v>
      </c>
      <c r="Z11" s="1">
        <f>VLOOKUP($A11,'RECEITAS - PAN'!$A$3:$Z$23,26,FALSE)-VLOOKUP($A11,'OPEX - PAN'!$A$3:$Z$23,26,FALSE)-VLOOKUP($A11,'CAPEX - PAN'!$A$3:$Z$21,26,FALSE)</f>
        <v>-814729.23120000004</v>
      </c>
      <c r="AA11" s="1">
        <f>VLOOKUP($A11,'RECEITAS - PAN'!$A$3:$AA$23,27,FALSE)-VLOOKUP($A11,'OPEX - PAN'!$A$3:$AA$23,27,FALSE)-VLOOKUP($A11,'CAPEX - PAN'!$A$3:$AA$21,27,FALSE)</f>
        <v>-7245921.7853999995</v>
      </c>
      <c r="AB11" s="1">
        <f>VLOOKUP($A11,'RECEITAS - PAN'!$A$3:$AB$23,28,FALSE)-VLOOKUP($A11,'OPEX - PAN'!$A$3:$AB$23,28,FALSE)-VLOOKUP($A11,'CAPEX - PAN'!$A$3:$AB$21,28,FALSE)</f>
        <v>-805059.49959999998</v>
      </c>
      <c r="AC11" s="1">
        <f>VLOOKUP($A11,'RECEITAS - PAN'!$A$3:$AC$23,29,FALSE)-VLOOKUP($A11,'OPEX - PAN'!$A$3:$AC$23,29,FALSE)-VLOOKUP($A11,'CAPEX - PAN'!$A$3:$AC$21,29,FALSE)</f>
        <v>-800276.18330000015</v>
      </c>
      <c r="AD11" s="1">
        <f>VLOOKUP($A11,'RECEITAS - PAN'!$A$3:$AD$23,30,FALSE)-VLOOKUP($A11,'OPEX - PAN'!$A$3:$AD$23,30,FALSE)-VLOOKUP($A11,'CAPEX - PAN'!$A$3:$AD$21,30,FALSE)</f>
        <v>-795595.96570000006</v>
      </c>
      <c r="AE11" s="1">
        <f>VLOOKUP($A11,'RECEITAS - PAN'!$A$3:$AE$23,31,FALSE)-VLOOKUP($A11,'OPEX - PAN'!$A$3:$AE$23,31,FALSE)-VLOOKUP($A11,'CAPEX - PAN'!$A$3:$AE$21,31,FALSE)</f>
        <v>-790812.64929999993</v>
      </c>
      <c r="AF11" s="1">
        <f>VLOOKUP($A11,'RECEITAS - PAN'!$A$3:$AF$23,32,FALSE)-VLOOKUP($A11,'OPEX - PAN'!$A$3:$AF$23,32,FALSE)-VLOOKUP($A11,'CAPEX - PAN'!$A$3:$AF$21,32,FALSE)</f>
        <v>-959661.74049999996</v>
      </c>
      <c r="AG11" s="1">
        <f>VLOOKUP($A11,'RECEITAS - PAN'!$A$3:$AG$23,33,FALSE)-VLOOKUP($A11,'OPEX - PAN'!$A$3:$AG$23,33,FALSE)-VLOOKUP($A11,'CAPEX - PAN'!$A$3:$AG$21,33,FALSE)</f>
        <v>-781684.18630000018</v>
      </c>
      <c r="AH11" s="1">
        <f>VLOOKUP($A11,'RECEITAS - PAN'!$A$3:$AH$23,34,FALSE)-VLOOKUP($A11,'OPEX - PAN'!$A$3:$AH$23,34,FALSE)-VLOOKUP($A11,'CAPEX - PAN'!$A$3:$AH$21,34,FALSE)</f>
        <v>-776988.97039999999</v>
      </c>
      <c r="AI11" s="1">
        <f>VLOOKUP($A11,'RECEITAS - PAN'!$A$3:$AI$23,35,FALSE)-VLOOKUP($A11,'OPEX - PAN'!$A$3:$AI$23,35,FALSE)-VLOOKUP($A11,'CAPEX - PAN'!$A$3:$AI$21,35,FALSE)</f>
        <v>-945683.41350000002</v>
      </c>
      <c r="AJ11" s="1">
        <f>VLOOKUP($A11,'RECEITAS - PAN'!$A$3:$AJ$21,36,FALSE)-VLOOKUP($A11,'OPEX - PAN'!$A$3:$AJ$21,36,FALSE)-VLOOKUP($A11,'CAPEX - PAN'!$A$3:$AJ$21,36,FALSE)</f>
        <v>-765421.99422539724</v>
      </c>
      <c r="AK11" s="1">
        <f>VLOOKUP($A11,'RECEITAS - PAN'!$A$3:$AK$21,37,FALSE)-VLOOKUP($A11,'OPEX - PAN'!$A$3:$AK$21,37,FALSE)-VLOOKUP($A11,'CAPEX - PAN'!$A$3:$AK$21,37,FALSE)</f>
        <v>-761000.06013696082</v>
      </c>
      <c r="AL11" s="12">
        <f t="shared" ref="AL11:AL17" si="3">SUM(H11:AK11)</f>
        <v>-65838243.534312375</v>
      </c>
      <c r="AM11" s="3">
        <f>VLOOKUP(A11,'BASE PAN - CAPEX'!$A$3:$H$22,8,FALSE)</f>
        <v>1</v>
      </c>
      <c r="AN11" s="1">
        <f t="shared" si="1"/>
        <v>-46948806.309350006</v>
      </c>
    </row>
    <row r="12" spans="1:40" x14ac:dyDescent="0.25">
      <c r="A12" t="s">
        <v>71</v>
      </c>
      <c r="B12" t="s">
        <v>99</v>
      </c>
      <c r="C12">
        <v>110004</v>
      </c>
      <c r="D12" t="s">
        <v>73</v>
      </c>
      <c r="E12" t="s">
        <v>72</v>
      </c>
      <c r="F12" t="s">
        <v>25</v>
      </c>
      <c r="G12" t="s">
        <v>28</v>
      </c>
      <c r="H12" s="1">
        <f>VLOOKUP($A12,'RECEITAS - PAN'!$A$3:$H$23,8,FALSE)-VLOOKUP($A12,'OPEX - PAN'!$A$3:$H$23,8,FALSE)-VLOOKUP($A12,'CAPEX - PAN'!$A$3:$H$23,8,FALSE)</f>
        <v>-9036167.4250000007</v>
      </c>
      <c r="I12" s="1">
        <f>VLOOKUP($A12,'RECEITAS - PAN'!$A$3:$I$23,9,FALSE)-VLOOKUP($A12,'OPEX - PAN'!$A$3:$I$23,9,FALSE)-VLOOKUP($A12,'CAPEX - PAN'!$A$3:$I$21,9,FALSE)</f>
        <v>-9084628.586948486</v>
      </c>
      <c r="J12" s="1">
        <f>VLOOKUP($A12,'RECEITAS - PAN'!$A$3:$J$23,10,FALSE)-VLOOKUP($A12,'OPEX - PAN'!$A$3:$J$23,10,FALSE)-VLOOKUP($A12,'CAPEX - PAN'!$A$3:$J$21,10,FALSE)</f>
        <v>-8957119.839850001</v>
      </c>
      <c r="K12" s="1">
        <f>VLOOKUP($A12,'RECEITAS - PAN'!$A$3:$K$23,11,FALSE)-VLOOKUP($A12,'OPEX - PAN'!$A$3:$K$23,11,FALSE)-VLOOKUP($A12,'CAPEX - PAN'!$A$3:$K$21,11,FALSE)</f>
        <v>-3076188.0775984852</v>
      </c>
      <c r="L12" s="1">
        <f>VLOOKUP($A12,'RECEITAS - PAN'!$A$3:$L$23,12,FALSE)-VLOOKUP($A12,'OPEX - PAN'!$A$3:$L$23,12,FALSE)-VLOOKUP($A12,'CAPEX - PAN'!$A$3:$L$21,12,FALSE)</f>
        <v>-3133766.1098000002</v>
      </c>
      <c r="M12" s="1">
        <f>VLOOKUP($A12,'RECEITAS - PAN'!$A$3:$M$23,13,FALSE)-VLOOKUP($A12,'OPEX - PAN'!$A$3:$M$23,13,FALSE)-VLOOKUP($A12,'CAPEX - PAN'!$A$3:$M$21,13,FALSE)</f>
        <v>-2937295.6567984857</v>
      </c>
      <c r="N12" s="1">
        <f>VLOOKUP($A12,'RECEITAS - PAN'!$A$3:$N$23,14,FALSE)-VLOOKUP($A12,'OPEX - PAN'!$A$3:$N$23,14,FALSE)-VLOOKUP($A12,'CAPEX - PAN'!$A$3:$N$21,14,FALSE)</f>
        <v>-2782644.8456999995</v>
      </c>
      <c r="O12" s="1">
        <f>VLOOKUP($A12,'RECEITAS - PAN'!$A$3:$O$23,15,FALSE)-VLOOKUP($A12,'OPEX - PAN'!$A$3:$O$23,15,FALSE)-VLOOKUP($A12,'CAPEX - PAN'!$A$3:$O$21,15,FALSE)</f>
        <v>-3033611.7935984856</v>
      </c>
      <c r="P12" s="1">
        <f>VLOOKUP($A12,'RECEITAS - PAN'!$A$3:$P$23,16,FALSE)-VLOOKUP($A12,'OPEX - PAN'!$A$3:$P$23,16,FALSE)-VLOOKUP($A12,'CAPEX - PAN'!$A$3:$P$21,16,FALSE)</f>
        <v>-2667650.3328999998</v>
      </c>
      <c r="Q12" s="1">
        <f>VLOOKUP($A12,'RECEITAS - PAN'!$A$3:$Q$23,17,FALSE)-VLOOKUP($A12,'OPEX - PAN'!$A$3:$Q$23,17,FALSE)-VLOOKUP($A12,'CAPEX - PAN'!$A$3:$Q$21,17,FALSE)</f>
        <v>-15913018.244498488</v>
      </c>
      <c r="R12" s="1">
        <f>VLOOKUP($A12,'RECEITAS - PAN'!$A$3:$R$23,18,FALSE)-VLOOKUP($A12,'OPEX - PAN'!$A$3:$R$23,18,FALSE)-VLOOKUP($A12,'CAPEX - PAN'!$A$3:$R$21,18,FALSE)</f>
        <v>-2556806.5475999997</v>
      </c>
      <c r="S12" s="1">
        <f>VLOOKUP($A12,'RECEITAS - PAN'!$A$3:$S$23,19,FALSE)-VLOOKUP($A12,'OPEX - PAN'!$A$3:$S$23,19,FALSE)-VLOOKUP($A12,'CAPEX - PAN'!$A$3:$S$21,19,FALSE)</f>
        <v>-2590959.9933984857</v>
      </c>
      <c r="T12" s="1">
        <f>VLOOKUP($A12,'RECEITAS - PAN'!$A$3:$T$23,20,FALSE)-VLOOKUP($A12,'OPEX - PAN'!$A$3:$T$23,20,FALSE)-VLOOKUP($A12,'CAPEX - PAN'!$A$3:$T$21,20,FALSE)</f>
        <v>-2444079.5164000001</v>
      </c>
      <c r="U12" s="1">
        <f>VLOOKUP($A12,'RECEITAS - PAN'!$A$3:$U$23,21,FALSE)-VLOOKUP($A12,'OPEX - PAN'!$A$3:$U$23,21,FALSE)-VLOOKUP($A12,'CAPEX - PAN'!$A$3:$U$21,21,FALSE)</f>
        <v>-2477748.1351984856</v>
      </c>
      <c r="V12" s="1">
        <f>VLOOKUP($A12,'RECEITAS - PAN'!$A$3:$V$23,22,FALSE)-VLOOKUP($A12,'OPEX - PAN'!$A$3:$V$23,22,FALSE)-VLOOKUP($A12,'CAPEX - PAN'!$A$3:$V$21,22,FALSE)</f>
        <v>-8356424.4839999992</v>
      </c>
      <c r="W12" s="1">
        <f>VLOOKUP($A12,'RECEITAS - PAN'!$A$3:$W$23,23,FALSE)-VLOOKUP($A12,'OPEX - PAN'!$A$3:$W$23,23,FALSE)-VLOOKUP($A12,'CAPEX - PAN'!$A$3:$W$21,23,FALSE)</f>
        <v>-2361684.5325984857</v>
      </c>
      <c r="X12" s="1">
        <f>VLOOKUP($A12,'RECEITAS - PAN'!$A$3:$X$23,24,FALSE)-VLOOKUP($A12,'OPEX - PAN'!$A$3:$X$23,24,FALSE)-VLOOKUP($A12,'CAPEX - PAN'!$A$3:$X$21,24,FALSE)</f>
        <v>-2210609.2056999998</v>
      </c>
      <c r="Y12" s="1">
        <f>VLOOKUP($A12,'RECEITAS - PAN'!$A$3:$Y$23,25,FALSE)-VLOOKUP($A12,'OPEX - PAN'!$A$3:$Y$23,25,FALSE)-VLOOKUP($A12,'CAPEX - PAN'!$A$3:$Y$21,25,FALSE)</f>
        <v>-2460043.679098486</v>
      </c>
      <c r="Z12" s="1">
        <f>VLOOKUP($A12,'RECEITAS - PAN'!$A$3:$Z$23,26,FALSE)-VLOOKUP($A12,'OPEX - PAN'!$A$3:$Z$23,26,FALSE)-VLOOKUP($A12,'CAPEX - PAN'!$A$3:$Z$21,26,FALSE)</f>
        <v>-2090325.4789999998</v>
      </c>
      <c r="AA12" s="1">
        <f>VLOOKUP($A12,'RECEITAS - PAN'!$A$3:$AA$23,27,FALSE)-VLOOKUP($A12,'OPEX - PAN'!$A$3:$AA$23,27,FALSE)-VLOOKUP($A12,'CAPEX - PAN'!$A$3:$AA$21,27,FALSE)</f>
        <v>-15330981.996598486</v>
      </c>
      <c r="AB12" s="1">
        <f>VLOOKUP($A12,'RECEITAS - PAN'!$A$3:$AB$23,28,FALSE)-VLOOKUP($A12,'OPEX - PAN'!$A$3:$AB$23,28,FALSE)-VLOOKUP($A12,'CAPEX - PAN'!$A$3:$AB$21,28,FALSE)</f>
        <v>-1970148.4329000004</v>
      </c>
      <c r="AC12" s="1">
        <f>VLOOKUP($A12,'RECEITAS - PAN'!$A$3:$AC$23,29,FALSE)-VLOOKUP($A12,'OPEX - PAN'!$A$3:$AC$23,29,FALSE)-VLOOKUP($A12,'CAPEX - PAN'!$A$3:$AC$21,29,FALSE)</f>
        <v>-2005542.0853984859</v>
      </c>
      <c r="AD12" s="1">
        <f>VLOOKUP($A12,'RECEITAS - PAN'!$A$3:$AD$23,30,FALSE)-VLOOKUP($A12,'OPEX - PAN'!$A$3:$AD$23,30,FALSE)-VLOOKUP($A12,'CAPEX - PAN'!$A$3:$AD$21,30,FALSE)</f>
        <v>-1861458.9986</v>
      </c>
      <c r="AE12" s="1">
        <f>VLOOKUP($A12,'RECEITAS - PAN'!$A$3:$AE$23,31,FALSE)-VLOOKUP($A12,'OPEX - PAN'!$A$3:$AE$23,31,FALSE)-VLOOKUP($A12,'CAPEX - PAN'!$A$3:$AE$21,31,FALSE)</f>
        <v>-1899617.1292984858</v>
      </c>
      <c r="AF12" s="1">
        <f>VLOOKUP($A12,'RECEITAS - PAN'!$A$3:$AF$23,32,FALSE)-VLOOKUP($A12,'OPEX - PAN'!$A$3:$AF$23,32,FALSE)-VLOOKUP($A12,'CAPEX - PAN'!$A$3:$AF$21,32,FALSE)</f>
        <v>-1977545.9596999995</v>
      </c>
      <c r="AG12" s="1">
        <f>VLOOKUP($A12,'RECEITAS - PAN'!$A$3:$AG$23,33,FALSE)-VLOOKUP($A12,'OPEX - PAN'!$A$3:$AG$23,33,FALSE)-VLOOKUP($A12,'CAPEX - PAN'!$A$3:$AG$21,33,FALSE)</f>
        <v>-1798242.6482984857</v>
      </c>
      <c r="AH12" s="1">
        <f>VLOOKUP($A12,'RECEITAS - PAN'!$A$3:$AH$23,34,FALSE)-VLOOKUP($A12,'OPEX - PAN'!$A$3:$AH$23,34,FALSE)-VLOOKUP($A12,'CAPEX - PAN'!$A$3:$AH$21,34,FALSE)</f>
        <v>-1655602.4259000001</v>
      </c>
      <c r="AI12" s="1">
        <f>VLOOKUP($A12,'RECEITAS - PAN'!$A$3:$AI$23,35,FALSE)-VLOOKUP($A12,'OPEX - PAN'!$A$3:$AI$23,35,FALSE)-VLOOKUP($A12,'CAPEX - PAN'!$A$3:$AI$21,35,FALSE)</f>
        <v>-1913029.1984984856</v>
      </c>
      <c r="AJ12" s="1">
        <f>VLOOKUP($A12,'RECEITAS - PAN'!$A$3:$AJ$21,36,FALSE)-VLOOKUP($A12,'OPEX - PAN'!$A$3:$AJ$21,36,FALSE)-VLOOKUP($A12,'CAPEX - PAN'!$A$3:$AJ$21,36,FALSE)</f>
        <v>-1510938.3215031726</v>
      </c>
      <c r="AK12" s="1">
        <f>VLOOKUP($A12,'RECEITAS - PAN'!$A$3:$AK$21,37,FALSE)-VLOOKUP($A12,'OPEX - PAN'!$A$3:$AK$21,37,FALSE)-VLOOKUP($A12,'CAPEX - PAN'!$A$3:$AK$21,37,FALSE)</f>
        <v>-1548816.7175664064</v>
      </c>
      <c r="AL12" s="12">
        <f t="shared" si="3"/>
        <v>-121642696.39994839</v>
      </c>
      <c r="AM12" s="3">
        <f>VLOOKUP(A12,'BASE PAN - CAPEX'!$A$3:$H$22,8,FALSE)</f>
        <v>3</v>
      </c>
      <c r="AN12" s="1">
        <f t="shared" si="1"/>
        <v>-79048109.589289412</v>
      </c>
    </row>
    <row r="13" spans="1:40" x14ac:dyDescent="0.25">
      <c r="A13" t="s">
        <v>76</v>
      </c>
      <c r="B13" t="s">
        <v>100</v>
      </c>
      <c r="C13">
        <v>170210</v>
      </c>
      <c r="D13" t="s">
        <v>78</v>
      </c>
      <c r="E13" t="s">
        <v>77</v>
      </c>
      <c r="F13" t="s">
        <v>27</v>
      </c>
      <c r="G13" t="s">
        <v>28</v>
      </c>
      <c r="H13" s="1">
        <f>VLOOKUP($A13,'RECEITAS - PAN'!$A$3:$H$23,8,FALSE)-VLOOKUP($A13,'OPEX - PAN'!$A$3:$H$23,8,FALSE)-VLOOKUP($A13,'CAPEX - PAN'!$A$3:$H$23,8,FALSE)</f>
        <v>-12798984.354266668</v>
      </c>
      <c r="I13" s="1">
        <f>VLOOKUP($A13,'RECEITAS - PAN'!$A$3:$I$23,9,FALSE)-VLOOKUP($A13,'OPEX - PAN'!$A$3:$I$23,9,FALSE)-VLOOKUP($A13,'CAPEX - PAN'!$A$3:$I$21,9,FALSE)</f>
        <v>-12843205.860197835</v>
      </c>
      <c r="J13" s="1">
        <f>VLOOKUP($A13,'RECEITAS - PAN'!$A$3:$J$23,10,FALSE)-VLOOKUP($A13,'OPEX - PAN'!$A$3:$J$23,10,FALSE)-VLOOKUP($A13,'CAPEX - PAN'!$A$3:$J$21,10,FALSE)</f>
        <v>-12745824.542616669</v>
      </c>
      <c r="K13" s="1">
        <f>VLOOKUP($A13,'RECEITAS - PAN'!$A$3:$K$23,11,FALSE)-VLOOKUP($A13,'OPEX - PAN'!$A$3:$K$23,11,FALSE)-VLOOKUP($A13,'CAPEX - PAN'!$A$3:$K$21,11,FALSE)</f>
        <v>-3719993.2469811682</v>
      </c>
      <c r="L13" s="1">
        <f>VLOOKUP($A13,'RECEITAS - PAN'!$A$3:$L$23,12,FALSE)-VLOOKUP($A13,'OPEX - PAN'!$A$3:$L$23,12,FALSE)-VLOOKUP($A13,'CAPEX - PAN'!$A$3:$L$21,12,FALSE)</f>
        <v>-3814934.0726999999</v>
      </c>
      <c r="M13" s="1">
        <f>VLOOKUP($A13,'RECEITAS - PAN'!$A$3:$M$23,13,FALSE)-VLOOKUP($A13,'OPEX - PAN'!$A$3:$M$23,13,FALSE)-VLOOKUP($A13,'CAPEX - PAN'!$A$3:$M$21,13,FALSE)</f>
        <v>-3640774.8083811682</v>
      </c>
      <c r="N13" s="1">
        <f>VLOOKUP($A13,'RECEITAS - PAN'!$A$3:$N$23,14,FALSE)-VLOOKUP($A13,'OPEX - PAN'!$A$3:$N$23,14,FALSE)-VLOOKUP($A13,'CAPEX - PAN'!$A$3:$N$21,14,FALSE)</f>
        <v>-3531449.8279000004</v>
      </c>
      <c r="O13" s="1">
        <f>VLOOKUP($A13,'RECEITAS - PAN'!$A$3:$O$23,15,FALSE)-VLOOKUP($A13,'OPEX - PAN'!$A$3:$O$23,15,FALSE)-VLOOKUP($A13,'CAPEX - PAN'!$A$3:$O$21,15,FALSE)</f>
        <v>-3783869.2368811676</v>
      </c>
      <c r="P13" s="1">
        <f>VLOOKUP($A13,'RECEITAS - PAN'!$A$3:$P$23,16,FALSE)-VLOOKUP($A13,'OPEX - PAN'!$A$3:$P$23,16,FALSE)-VLOOKUP($A13,'CAPEX - PAN'!$A$3:$P$21,16,FALSE)</f>
        <v>-3471020.1574999997</v>
      </c>
      <c r="Q13" s="1">
        <f>VLOOKUP($A13,'RECEITAS - PAN'!$A$3:$Q$23,17,FALSE)-VLOOKUP($A13,'OPEX - PAN'!$A$3:$Q$23,17,FALSE)-VLOOKUP($A13,'CAPEX - PAN'!$A$3:$Q$21,17,FALSE)</f>
        <v>-13876718.076881165</v>
      </c>
      <c r="R13" s="1">
        <f>VLOOKUP($A13,'RECEITAS - PAN'!$A$3:$R$23,18,FALSE)-VLOOKUP($A13,'OPEX - PAN'!$A$3:$R$23,18,FALSE)-VLOOKUP($A13,'CAPEX - PAN'!$A$3:$R$21,18,FALSE)</f>
        <v>-3414166.9014000003</v>
      </c>
      <c r="S13" s="1">
        <f>VLOOKUP($A13,'RECEITAS - PAN'!$A$3:$S$23,19,FALSE)-VLOOKUP($A13,'OPEX - PAN'!$A$3:$S$23,19,FALSE)-VLOOKUP($A13,'CAPEX - PAN'!$A$3:$S$21,19,FALSE)</f>
        <v>-3459249.5746811675</v>
      </c>
      <c r="T13" s="1">
        <f>VLOOKUP($A13,'RECEITAS - PAN'!$A$3:$T$23,20,FALSE)-VLOOKUP($A13,'OPEX - PAN'!$A$3:$T$23,20,FALSE)-VLOOKUP($A13,'CAPEX - PAN'!$A$3:$T$21,20,FALSE)</f>
        <v>-3357174.3807999999</v>
      </c>
      <c r="U13" s="1">
        <f>VLOOKUP($A13,'RECEITAS - PAN'!$A$3:$U$23,21,FALSE)-VLOOKUP($A13,'OPEX - PAN'!$A$3:$U$23,21,FALSE)-VLOOKUP($A13,'CAPEX - PAN'!$A$3:$U$21,21,FALSE)</f>
        <v>-3402742.9218811681</v>
      </c>
      <c r="V13" s="1">
        <f>VLOOKUP($A13,'RECEITAS - PAN'!$A$3:$V$23,22,FALSE)-VLOOKUP($A13,'OPEX - PAN'!$A$3:$V$23,22,FALSE)-VLOOKUP($A13,'CAPEX - PAN'!$A$3:$V$21,22,FALSE)</f>
        <v>-10694948.8104</v>
      </c>
      <c r="W13" s="1">
        <f>VLOOKUP($A13,'RECEITAS - PAN'!$A$3:$W$23,23,FALSE)-VLOOKUP($A13,'OPEX - PAN'!$A$3:$W$23,23,FALSE)-VLOOKUP($A13,'CAPEX - PAN'!$A$3:$W$21,23,FALSE)</f>
        <v>-3345719.8014811678</v>
      </c>
      <c r="X13" s="1">
        <f>VLOOKUP($A13,'RECEITAS - PAN'!$A$3:$X$23,24,FALSE)-VLOOKUP($A13,'OPEX - PAN'!$A$3:$X$23,24,FALSE)-VLOOKUP($A13,'CAPEX - PAN'!$A$3:$X$21,24,FALSE)</f>
        <v>-3242575.9139999999</v>
      </c>
      <c r="Y13" s="1">
        <f>VLOOKUP($A13,'RECEITAS - PAN'!$A$3:$Y$23,25,FALSE)-VLOOKUP($A13,'OPEX - PAN'!$A$3:$Y$23,25,FALSE)-VLOOKUP($A13,'CAPEX - PAN'!$A$3:$Y$21,25,FALSE)</f>
        <v>-3496843.8741811672</v>
      </c>
      <c r="Z13" s="1">
        <f>VLOOKUP($A13,'RECEITAS - PAN'!$A$3:$Z$23,26,FALSE)-VLOOKUP($A13,'OPEX - PAN'!$A$3:$Z$23,26,FALSE)-VLOOKUP($A13,'CAPEX - PAN'!$A$3:$Z$21,26,FALSE)</f>
        <v>-3184659.1178000001</v>
      </c>
      <c r="AA13" s="1">
        <f>VLOOKUP($A13,'RECEITAS - PAN'!$A$3:$AA$23,27,FALSE)-VLOOKUP($A13,'OPEX - PAN'!$A$3:$AA$23,27,FALSE)-VLOOKUP($A13,'CAPEX - PAN'!$A$3:$AA$21,27,FALSE)</f>
        <v>-13590018.225881165</v>
      </c>
      <c r="AB13" s="1">
        <f>VLOOKUP($A13,'RECEITAS - PAN'!$A$3:$AB$23,28,FALSE)-VLOOKUP($A13,'OPEX - PAN'!$A$3:$AB$23,28,FALSE)-VLOOKUP($A13,'CAPEX - PAN'!$A$3:$AB$21,28,FALSE)</f>
        <v>-3127582.5847999998</v>
      </c>
      <c r="AC13" s="1">
        <f>VLOOKUP($A13,'RECEITAS - PAN'!$A$3:$AC$23,29,FALSE)-VLOOKUP($A13,'OPEX - PAN'!$A$3:$AC$23,29,FALSE)-VLOOKUP($A13,'CAPEX - PAN'!$A$3:$AC$21,29,FALSE)</f>
        <v>-3175033.7142811678</v>
      </c>
      <c r="AD13" s="1">
        <f>VLOOKUP($A13,'RECEITAS - PAN'!$A$3:$AD$23,30,FALSE)-VLOOKUP($A13,'OPEX - PAN'!$A$3:$AD$23,30,FALSE)-VLOOKUP($A13,'CAPEX - PAN'!$A$3:$AD$21,30,FALSE)</f>
        <v>-3075384.7439000001</v>
      </c>
      <c r="AE13" s="1">
        <f>VLOOKUP($A13,'RECEITAS - PAN'!$A$3:$AE$23,31,FALSE)-VLOOKUP($A13,'OPEX - PAN'!$A$3:$AE$23,31,FALSE)-VLOOKUP($A13,'CAPEX - PAN'!$A$3:$AE$21,31,FALSE)</f>
        <v>-3123557.9636811679</v>
      </c>
      <c r="AF13" s="1">
        <f>VLOOKUP($A13,'RECEITAS - PAN'!$A$3:$AF$23,32,FALSE)-VLOOKUP($A13,'OPEX - PAN'!$A$3:$AF$23,32,FALSE)-VLOOKUP($A13,'CAPEX - PAN'!$A$3:$AF$21,32,FALSE)</f>
        <v>-3235116.1330999997</v>
      </c>
      <c r="AG13" s="1">
        <f>VLOOKUP($A13,'RECEITAS - PAN'!$A$3:$AG$23,33,FALSE)-VLOOKUP($A13,'OPEX - PAN'!$A$3:$AG$23,33,FALSE)-VLOOKUP($A13,'CAPEX - PAN'!$A$3:$AG$21,33,FALSE)</f>
        <v>-3075600.8600811674</v>
      </c>
      <c r="AH13" s="1">
        <f>VLOOKUP($A13,'RECEITAS - PAN'!$A$3:$AH$23,34,FALSE)-VLOOKUP($A13,'OPEX - PAN'!$A$3:$AH$23,34,FALSE)-VLOOKUP($A13,'CAPEX - PAN'!$A$3:$AH$21,34,FALSE)</f>
        <v>-2977528.5834000004</v>
      </c>
      <c r="AI13" s="1">
        <f>VLOOKUP($A13,'RECEITAS - PAN'!$A$3:$AI$23,35,FALSE)-VLOOKUP($A13,'OPEX - PAN'!$A$3:$AI$23,35,FALSE)-VLOOKUP($A13,'CAPEX - PAN'!$A$3:$AI$21,35,FALSE)</f>
        <v>-3236961.5566811678</v>
      </c>
      <c r="AJ13" s="1">
        <f>VLOOKUP($A13,'RECEITAS - PAN'!$A$3:$AJ$21,36,FALSE)-VLOOKUP($A13,'OPEX - PAN'!$A$3:$AJ$21,36,FALSE)-VLOOKUP($A13,'CAPEX - PAN'!$A$3:$AJ$21,36,FALSE)</f>
        <v>-2893111.6983825359</v>
      </c>
      <c r="AK13" s="1">
        <f>VLOOKUP($A13,'RECEITAS - PAN'!$A$3:$AK$21,37,FALSE)-VLOOKUP($A13,'OPEX - PAN'!$A$3:$AK$21,37,FALSE)-VLOOKUP($A13,'CAPEX - PAN'!$A$3:$AK$21,37,FALSE)</f>
        <v>-2943182.4489231175</v>
      </c>
      <c r="AL13" s="12">
        <f t="shared" si="3"/>
        <v>-156277933.99404195</v>
      </c>
      <c r="AM13" s="3">
        <f>VLOOKUP(A13,'BASE PAN - CAPEX'!$A$3:$H$22,8,FALSE)</f>
        <v>3</v>
      </c>
      <c r="AN13" s="1">
        <f t="shared" si="1"/>
        <v>-98555056.773468152</v>
      </c>
    </row>
    <row r="14" spans="1:40" x14ac:dyDescent="0.25">
      <c r="A14" t="s">
        <v>80</v>
      </c>
      <c r="B14" t="s">
        <v>101</v>
      </c>
      <c r="C14">
        <v>221060</v>
      </c>
      <c r="D14" t="s">
        <v>82</v>
      </c>
      <c r="E14" t="s">
        <v>83</v>
      </c>
      <c r="F14" t="s">
        <v>33</v>
      </c>
      <c r="G14" t="s">
        <v>28</v>
      </c>
      <c r="H14" s="1">
        <f>VLOOKUP($A14,'RECEITAS - PAN'!$A$3:$H$23,8,FALSE)-VLOOKUP($A14,'OPEX - PAN'!$A$3:$H$23,8,FALSE)-VLOOKUP($A14,'CAPEX - PAN'!$A$3:$H$23,8,FALSE)</f>
        <v>-11635910.4309</v>
      </c>
      <c r="I14" s="1">
        <f>VLOOKUP($A14,'RECEITAS - PAN'!$A$3:$I$23,9,FALSE)-VLOOKUP($A14,'OPEX - PAN'!$A$3:$I$23,9,FALSE)-VLOOKUP($A14,'CAPEX - PAN'!$A$3:$I$21,9,FALSE)</f>
        <v>-11616756.1231</v>
      </c>
      <c r="J14" s="1">
        <f>VLOOKUP($A14,'RECEITAS - PAN'!$A$3:$J$23,10,FALSE)-VLOOKUP($A14,'OPEX - PAN'!$A$3:$J$23,10,FALSE)-VLOOKUP($A14,'CAPEX - PAN'!$A$3:$J$21,10,FALSE)</f>
        <v>-11600067.220100001</v>
      </c>
      <c r="K14" s="1">
        <f>VLOOKUP($A14,'RECEITAS - PAN'!$A$3:$K$23,11,FALSE)-VLOOKUP($A14,'OPEX - PAN'!$A$3:$K$23,11,FALSE)-VLOOKUP($A14,'CAPEX - PAN'!$A$3:$K$21,11,FALSE)</f>
        <v>-1522695.7288000002</v>
      </c>
      <c r="L14" s="1">
        <f>VLOOKUP($A14,'RECEITAS - PAN'!$A$3:$L$23,12,FALSE)-VLOOKUP($A14,'OPEX - PAN'!$A$3:$L$23,12,FALSE)-VLOOKUP($A14,'CAPEX - PAN'!$A$3:$L$21,12,FALSE)</f>
        <v>-1662868.6068999998</v>
      </c>
      <c r="M14" s="1">
        <f>VLOOKUP($A14,'RECEITAS - PAN'!$A$3:$M$23,13,FALSE)-VLOOKUP($A14,'OPEX - PAN'!$A$3:$M$23,13,FALSE)-VLOOKUP($A14,'CAPEX - PAN'!$A$3:$M$21,13,FALSE)</f>
        <v>-1475605.7553999999</v>
      </c>
      <c r="N14" s="1">
        <f>VLOOKUP($A14,'RECEITAS - PAN'!$A$3:$N$23,14,FALSE)-VLOOKUP($A14,'OPEX - PAN'!$A$3:$N$23,14,FALSE)-VLOOKUP($A14,'CAPEX - PAN'!$A$3:$N$21,14,FALSE)</f>
        <v>-1434575.1024</v>
      </c>
      <c r="O14" s="1">
        <f>VLOOKUP($A14,'RECEITAS - PAN'!$A$3:$O$23,15,FALSE)-VLOOKUP($A14,'OPEX - PAN'!$A$3:$O$23,15,FALSE)-VLOOKUP($A14,'CAPEX - PAN'!$A$3:$O$21,15,FALSE)</f>
        <v>-1570042.3651000001</v>
      </c>
      <c r="P14" s="1">
        <f>VLOOKUP($A14,'RECEITAS - PAN'!$A$3:$P$23,16,FALSE)-VLOOKUP($A14,'OPEX - PAN'!$A$3:$P$23,16,FALSE)-VLOOKUP($A14,'CAPEX - PAN'!$A$3:$P$21,16,FALSE)</f>
        <v>-1383918.3733000001</v>
      </c>
      <c r="Q14" s="1">
        <f>VLOOKUP($A14,'RECEITAS - PAN'!$A$3:$Q$23,17,FALSE)-VLOOKUP($A14,'OPEX - PAN'!$A$3:$Q$23,17,FALSE)-VLOOKUP($A14,'CAPEX - PAN'!$A$3:$Q$21,17,FALSE)</f>
        <v>-10597354.195400001</v>
      </c>
      <c r="R14" s="1">
        <f>VLOOKUP($A14,'RECEITAS - PAN'!$A$3:$R$23,18,FALSE)-VLOOKUP($A14,'OPEX - PAN'!$A$3:$R$23,18,FALSE)-VLOOKUP($A14,'CAPEX - PAN'!$A$3:$R$21,18,FALSE)</f>
        <v>-1333721.2413000001</v>
      </c>
      <c r="S14" s="1">
        <f>VLOOKUP($A14,'RECEITAS - PAN'!$A$3:$S$23,19,FALSE)-VLOOKUP($A14,'OPEX - PAN'!$A$3:$S$23,19,FALSE)-VLOOKUP($A14,'CAPEX - PAN'!$A$3:$S$21,19,FALSE)</f>
        <v>-1292212.389</v>
      </c>
      <c r="T14" s="1">
        <f>VLOOKUP($A14,'RECEITAS - PAN'!$A$3:$T$23,20,FALSE)-VLOOKUP($A14,'OPEX - PAN'!$A$3:$T$23,20,FALSE)-VLOOKUP($A14,'CAPEX - PAN'!$A$3:$T$21,20,FALSE)</f>
        <v>-1282911.7013000001</v>
      </c>
      <c r="U14" s="1">
        <f>VLOOKUP($A14,'RECEITAS - PAN'!$A$3:$U$23,21,FALSE)-VLOOKUP($A14,'OPEX - PAN'!$A$3:$U$23,21,FALSE)-VLOOKUP($A14,'CAPEX - PAN'!$A$3:$U$21,21,FALSE)</f>
        <v>-1273556.7822</v>
      </c>
      <c r="V14" s="1">
        <f>VLOOKUP($A14,'RECEITAS - PAN'!$A$3:$V$23,22,FALSE)-VLOOKUP($A14,'OPEX - PAN'!$A$3:$V$23,22,FALSE)-VLOOKUP($A14,'CAPEX - PAN'!$A$3:$V$21,22,FALSE)</f>
        <v>-8602004.5792000014</v>
      </c>
      <c r="W14" s="1">
        <f>VLOOKUP($A14,'RECEITAS - PAN'!$A$3:$W$23,23,FALSE)-VLOOKUP($A14,'OPEX - PAN'!$A$3:$W$23,23,FALSE)-VLOOKUP($A14,'CAPEX - PAN'!$A$3:$W$21,23,FALSE)</f>
        <v>-1222574.6646000003</v>
      </c>
      <c r="X14" s="1">
        <f>VLOOKUP($A14,'RECEITAS - PAN'!$A$3:$X$23,24,FALSE)-VLOOKUP($A14,'OPEX - PAN'!$A$3:$X$23,24,FALSE)-VLOOKUP($A14,'CAPEX - PAN'!$A$3:$X$21,24,FALSE)</f>
        <v>-1180094.3614000003</v>
      </c>
      <c r="Y14" s="1">
        <f>VLOOKUP($A14,'RECEITAS - PAN'!$A$3:$Y$23,25,FALSE)-VLOOKUP($A14,'OPEX - PAN'!$A$3:$Y$23,25,FALSE)-VLOOKUP($A14,'CAPEX - PAN'!$A$3:$Y$21,25,FALSE)</f>
        <v>-1346350.4643000001</v>
      </c>
      <c r="Z14" s="1">
        <f>VLOOKUP($A14,'RECEITAS - PAN'!$A$3:$Z$23,26,FALSE)-VLOOKUP($A14,'OPEX - PAN'!$A$3:$Z$23,26,FALSE)-VLOOKUP($A14,'CAPEX - PAN'!$A$3:$Z$21,26,FALSE)</f>
        <v>-1127927.0773999998</v>
      </c>
      <c r="AA14" s="1">
        <f>VLOOKUP($A14,'RECEITAS - PAN'!$A$3:$AA$23,27,FALSE)-VLOOKUP($A14,'OPEX - PAN'!$A$3:$AA$23,27,FALSE)-VLOOKUP($A14,'CAPEX - PAN'!$A$3:$AA$21,27,FALSE)</f>
        <v>-10372779.994000003</v>
      </c>
      <c r="AB14" s="1">
        <f>VLOOKUP($A14,'RECEITAS - PAN'!$A$3:$AB$23,28,FALSE)-VLOOKUP($A14,'OPEX - PAN'!$A$3:$AB$23,28,FALSE)-VLOOKUP($A14,'CAPEX - PAN'!$A$3:$AB$21,28,FALSE)</f>
        <v>-1076619.5713999998</v>
      </c>
      <c r="AC14" s="1">
        <f>VLOOKUP($A14,'RECEITAS - PAN'!$A$3:$AC$23,29,FALSE)-VLOOKUP($A14,'OPEX - PAN'!$A$3:$AC$23,29,FALSE)-VLOOKUP($A14,'CAPEX - PAN'!$A$3:$AC$21,29,FALSE)</f>
        <v>-1068065.6057</v>
      </c>
      <c r="AD14" s="1">
        <f>VLOOKUP($A14,'RECEITAS - PAN'!$A$3:$AD$23,30,FALSE)-VLOOKUP($A14,'OPEX - PAN'!$A$3:$AD$23,30,FALSE)-VLOOKUP($A14,'CAPEX - PAN'!$A$3:$AD$21,30,FALSE)</f>
        <v>-1025907.2409000001</v>
      </c>
      <c r="AE14" s="1">
        <f>VLOOKUP($A14,'RECEITAS - PAN'!$A$3:$AE$23,31,FALSE)-VLOOKUP($A14,'OPEX - PAN'!$A$3:$AE$23,31,FALSE)-VLOOKUP($A14,'CAPEX - PAN'!$A$3:$AE$21,31,FALSE)</f>
        <v>-1018097.9170999997</v>
      </c>
      <c r="AF14" s="1">
        <f>VLOOKUP($A14,'RECEITAS - PAN'!$A$3:$AF$23,32,FALSE)-VLOOKUP($A14,'OPEX - PAN'!$A$3:$AF$23,32,FALSE)-VLOOKUP($A14,'CAPEX - PAN'!$A$3:$AF$21,32,FALSE)</f>
        <v>-1153348.2541999999</v>
      </c>
      <c r="AG14" s="1">
        <f>VLOOKUP($A14,'RECEITAS - PAN'!$A$3:$AG$23,33,FALSE)-VLOOKUP($A14,'OPEX - PAN'!$A$3:$AG$23,33,FALSE)-VLOOKUP($A14,'CAPEX - PAN'!$A$3:$AG$21,33,FALSE)</f>
        <v>-970857.76719999989</v>
      </c>
      <c r="AH14" s="1">
        <f>VLOOKUP($A14,'RECEITAS - PAN'!$A$3:$AH$23,34,FALSE)-VLOOKUP($A14,'OPEX - PAN'!$A$3:$AH$23,34,FALSE)-VLOOKUP($A14,'CAPEX - PAN'!$A$3:$AH$21,34,FALSE)</f>
        <v>-964621.15449999995</v>
      </c>
      <c r="AI14" s="1">
        <f>VLOOKUP($A14,'RECEITAS - PAN'!$A$3:$AI$23,35,FALSE)-VLOOKUP($A14,'OPEX - PAN'!$A$3:$AI$23,35,FALSE)-VLOOKUP($A14,'CAPEX - PAN'!$A$3:$AI$21,35,FALSE)</f>
        <v>-1134552.4813999997</v>
      </c>
      <c r="AJ14" s="1">
        <f>VLOOKUP($A14,'RECEITAS - PAN'!$A$3:$AJ$21,36,FALSE)-VLOOKUP($A14,'OPEX - PAN'!$A$3:$AJ$21,36,FALSE)-VLOOKUP($A14,'CAPEX - PAN'!$A$3:$AJ$21,36,FALSE)</f>
        <v>-889570.84116349509</v>
      </c>
      <c r="AK14" s="1">
        <f>VLOOKUP($A14,'RECEITAS - PAN'!$A$3:$AK$21,37,FALSE)-VLOOKUP($A14,'OPEX - PAN'!$A$3:$AK$21,37,FALSE)-VLOOKUP($A14,'CAPEX - PAN'!$A$3:$AK$21,37,FALSE)</f>
        <v>-867756.10303208465</v>
      </c>
      <c r="AL14" s="12">
        <f t="shared" si="3"/>
        <v>-93703324.092695564</v>
      </c>
      <c r="AM14" s="3">
        <f>VLOOKUP(A14,'BASE PAN - CAPEX'!$A$3:$H$22,8,FALSE)</f>
        <v>2</v>
      </c>
      <c r="AN14" s="1">
        <f t="shared" si="1"/>
        <v>-68284200.594400004</v>
      </c>
    </row>
    <row r="15" spans="1:40" x14ac:dyDescent="0.25">
      <c r="A15" t="s">
        <v>85</v>
      </c>
      <c r="B15" t="s">
        <v>86</v>
      </c>
      <c r="C15">
        <v>130340</v>
      </c>
      <c r="D15" t="s">
        <v>87</v>
      </c>
      <c r="E15" t="s">
        <v>86</v>
      </c>
      <c r="F15" t="s">
        <v>30</v>
      </c>
      <c r="G15" t="s">
        <v>28</v>
      </c>
      <c r="H15" s="1">
        <f>VLOOKUP($A15,'RECEITAS - PAN'!$A$3:$H$23,8,FALSE)-VLOOKUP($A15,'OPEX - PAN'!$A$3:$H$23,8,FALSE)-VLOOKUP($A15,'CAPEX - PAN'!$A$3:$H$23,8,FALSE)</f>
        <v>-28678773.001900002</v>
      </c>
      <c r="I15" s="1">
        <f>VLOOKUP($A15,'RECEITAS - PAN'!$A$3:$I$23,9,FALSE)-VLOOKUP($A15,'OPEX - PAN'!$A$3:$I$23,9,FALSE)-VLOOKUP($A15,'CAPEX - PAN'!$A$3:$I$21,9,FALSE)</f>
        <v>-27817383.52061661</v>
      </c>
      <c r="J15" s="1">
        <f>VLOOKUP($A15,'RECEITAS - PAN'!$A$3:$J$23,10,FALSE)-VLOOKUP($A15,'OPEX - PAN'!$A$3:$J$23,10,FALSE)-VLOOKUP($A15,'CAPEX - PAN'!$A$3:$J$21,10,FALSE)</f>
        <v>-27651291.12455</v>
      </c>
      <c r="K15" s="1">
        <f>VLOOKUP($A15,'RECEITAS - PAN'!$A$3:$K$23,11,FALSE)-VLOOKUP($A15,'OPEX - PAN'!$A$3:$K$23,11,FALSE)-VLOOKUP($A15,'CAPEX - PAN'!$A$3:$K$21,11,FALSE)</f>
        <v>-1692929.7405666132</v>
      </c>
      <c r="L15" s="1">
        <f>VLOOKUP($A15,'RECEITAS - PAN'!$A$3:$L$23,12,FALSE)-VLOOKUP($A15,'OPEX - PAN'!$A$3:$L$23,12,FALSE)-VLOOKUP($A15,'CAPEX - PAN'!$A$3:$L$21,12,FALSE)</f>
        <v>-1687545.7575999999</v>
      </c>
      <c r="M15" s="1">
        <f>VLOOKUP($A15,'RECEITAS - PAN'!$A$3:$M$23,13,FALSE)-VLOOKUP($A15,'OPEX - PAN'!$A$3:$M$23,13,FALSE)-VLOOKUP($A15,'CAPEX - PAN'!$A$3:$M$21,13,FALSE)</f>
        <v>-1437250.1771666133</v>
      </c>
      <c r="N15" s="1">
        <f>VLOOKUP($A15,'RECEITAS - PAN'!$A$3:$N$23,14,FALSE)-VLOOKUP($A15,'OPEX - PAN'!$A$3:$N$23,14,FALSE)-VLOOKUP($A15,'CAPEX - PAN'!$A$3:$N$21,14,FALSE)</f>
        <v>-1220754.3748000003</v>
      </c>
      <c r="O15" s="1">
        <f>VLOOKUP($A15,'RECEITAS - PAN'!$A$3:$O$23,15,FALSE)-VLOOKUP($A15,'OPEX - PAN'!$A$3:$O$23,15,FALSE)-VLOOKUP($A15,'CAPEX - PAN'!$A$3:$O$21,15,FALSE)</f>
        <v>-1425799.8663666125</v>
      </c>
      <c r="P15" s="1">
        <f>VLOOKUP($A15,'RECEITAS - PAN'!$A$3:$P$23,16,FALSE)-VLOOKUP($A15,'OPEX - PAN'!$A$3:$P$23,16,FALSE)-VLOOKUP($A15,'CAPEX - PAN'!$A$3:$P$21,16,FALSE)</f>
        <v>-1001381.9907999998</v>
      </c>
      <c r="Q15" s="1">
        <f>VLOOKUP($A15,'RECEITAS - PAN'!$A$3:$Q$23,17,FALSE)-VLOOKUP($A15,'OPEX - PAN'!$A$3:$Q$23,17,FALSE)-VLOOKUP($A15,'CAPEX - PAN'!$A$3:$Q$21,17,FALSE)</f>
        <v>-9976522.9080666117</v>
      </c>
      <c r="R15" s="1">
        <f>VLOOKUP($A15,'RECEITAS - PAN'!$A$3:$R$23,18,FALSE)-VLOOKUP($A15,'OPEX - PAN'!$A$3:$R$23,18,FALSE)-VLOOKUP($A15,'CAPEX - PAN'!$A$3:$R$21,18,FALSE)</f>
        <v>-785044.79710000055</v>
      </c>
      <c r="S15" s="1">
        <f>VLOOKUP($A15,'RECEITAS - PAN'!$A$3:$S$23,19,FALSE)-VLOOKUP($A15,'OPEX - PAN'!$A$3:$S$23,19,FALSE)-VLOOKUP($A15,'CAPEX - PAN'!$A$3:$S$21,19,FALSE)</f>
        <v>-769763.11676661298</v>
      </c>
      <c r="T15" s="1">
        <f>VLOOKUP($A15,'RECEITAS - PAN'!$A$3:$T$23,20,FALSE)-VLOOKUP($A15,'OPEX - PAN'!$A$3:$T$23,20,FALSE)-VLOOKUP($A15,'CAPEX - PAN'!$A$3:$T$21,20,FALSE)</f>
        <v>-562918.85420000041</v>
      </c>
      <c r="U15" s="1">
        <f>VLOOKUP($A15,'RECEITAS - PAN'!$A$3:$U$23,21,FALSE)-VLOOKUP($A15,'OPEX - PAN'!$A$3:$U$23,21,FALSE)-VLOOKUP($A15,'CAPEX - PAN'!$A$3:$U$21,21,FALSE)</f>
        <v>-546011.94846661296</v>
      </c>
      <c r="V15" s="1">
        <f>VLOOKUP($A15,'RECEITAS - PAN'!$A$3:$V$23,22,FALSE)-VLOOKUP($A15,'OPEX - PAN'!$A$3:$V$23,22,FALSE)-VLOOKUP($A15,'CAPEX - PAN'!$A$3:$V$21,22,FALSE)</f>
        <v>-5742650.8636999996</v>
      </c>
      <c r="W15" s="1">
        <f>VLOOKUP($A15,'RECEITAS - PAN'!$A$3:$W$23,23,FALSE)-VLOOKUP($A15,'OPEX - PAN'!$A$3:$W$23,23,FALSE)-VLOOKUP($A15,'CAPEX - PAN'!$A$3:$W$21,23,FALSE)</f>
        <v>-313649.00736661255</v>
      </c>
      <c r="X15" s="1">
        <f>VLOOKUP($A15,'RECEITAS - PAN'!$A$3:$X$23,24,FALSE)-VLOOKUP($A15,'OPEX - PAN'!$A$3:$X$23,24,FALSE)-VLOOKUP($A15,'CAPEX - PAN'!$A$3:$X$21,24,FALSE)</f>
        <v>-97559.338899999857</v>
      </c>
      <c r="Y15" s="1">
        <f>VLOOKUP($A15,'RECEITAS - PAN'!$A$3:$Y$23,25,FALSE)-VLOOKUP($A15,'OPEX - PAN'!$A$3:$Y$23,25,FALSE)-VLOOKUP($A15,'CAPEX - PAN'!$A$3:$Y$21,25,FALSE)</f>
        <v>-291342.88956661226</v>
      </c>
      <c r="Z15" s="1">
        <f>VLOOKUP($A15,'RECEITAS - PAN'!$A$3:$Z$23,26,FALSE)-VLOOKUP($A15,'OPEX - PAN'!$A$3:$Z$23,26,FALSE)-VLOOKUP($A15,'CAPEX - PAN'!$A$3:$Z$21,26,FALSE)</f>
        <v>147537.85369999986</v>
      </c>
      <c r="AA15" s="1">
        <f>VLOOKUP($A15,'RECEITAS - PAN'!$A$3:$AA$23,27,FALSE)-VLOOKUP($A15,'OPEX - PAN'!$A$3:$AA$23,27,FALSE)-VLOOKUP($A15,'CAPEX - PAN'!$A$3:$AA$21,27,FALSE)</f>
        <v>-8811286.3198666126</v>
      </c>
      <c r="AB15" s="1">
        <f>VLOOKUP($A15,'RECEITAS - PAN'!$A$3:$AB$23,28,FALSE)-VLOOKUP($A15,'OPEX - PAN'!$A$3:$AB$23,28,FALSE)-VLOOKUP($A15,'CAPEX - PAN'!$A$3:$AB$21,28,FALSE)</f>
        <v>396327.00349999964</v>
      </c>
      <c r="AC15" s="1">
        <f>VLOOKUP($A15,'RECEITAS - PAN'!$A$3:$AC$23,29,FALSE)-VLOOKUP($A15,'OPEX - PAN'!$A$3:$AC$23,29,FALSE)-VLOOKUP($A15,'CAPEX - PAN'!$A$3:$AC$21,29,FALSE)</f>
        <v>424447.23233338725</v>
      </c>
      <c r="AD15" s="1">
        <f>VLOOKUP($A15,'RECEITAS - PAN'!$A$3:$AD$23,30,FALSE)-VLOOKUP($A15,'OPEX - PAN'!$A$3:$AD$23,30,FALSE)-VLOOKUP($A15,'CAPEX - PAN'!$A$3:$AD$21,30,FALSE)</f>
        <v>645957.84100000001</v>
      </c>
      <c r="AE15" s="1">
        <f>VLOOKUP($A15,'RECEITAS - PAN'!$A$3:$AE$23,31,FALSE)-VLOOKUP($A15,'OPEX - PAN'!$A$3:$AE$23,31,FALSE)-VLOOKUP($A15,'CAPEX - PAN'!$A$3:$AE$21,31,FALSE)</f>
        <v>678583.3401333876</v>
      </c>
      <c r="AF15" s="1">
        <f>VLOOKUP($A15,'RECEITAS - PAN'!$A$3:$AF$23,32,FALSE)-VLOOKUP($A15,'OPEX - PAN'!$A$3:$AF$23,32,FALSE)-VLOOKUP($A15,'CAPEX - PAN'!$A$3:$AF$21,32,FALSE)</f>
        <v>679841.38770000008</v>
      </c>
      <c r="AG15" s="1">
        <f>VLOOKUP($A15,'RECEITAS - PAN'!$A$3:$AG$23,33,FALSE)-VLOOKUP($A15,'OPEX - PAN'!$A$3:$AG$23,33,FALSE)-VLOOKUP($A15,'CAPEX - PAN'!$A$3:$AG$21,33,FALSE)</f>
        <v>934378.65713338647</v>
      </c>
      <c r="AH15" s="1">
        <f>VLOOKUP($A15,'RECEITAS - PAN'!$A$3:$AH$23,34,FALSE)-VLOOKUP($A15,'OPEX - PAN'!$A$3:$AH$23,34,FALSE)-VLOOKUP($A15,'CAPEX - PAN'!$A$3:$AH$21,34,FALSE)</f>
        <v>1164255.4155999999</v>
      </c>
      <c r="AI15" s="1">
        <f>VLOOKUP($A15,'RECEITAS - PAN'!$A$3:$AI$23,35,FALSE)-VLOOKUP($A15,'OPEX - PAN'!$A$3:$AI$23,35,FALSE)-VLOOKUP($A15,'CAPEX - PAN'!$A$3:$AI$21,35,FALSE)</f>
        <v>982043.0312333873</v>
      </c>
      <c r="AJ15" s="1">
        <f>VLOOKUP($A15,'RECEITAS - PAN'!$A$3:$AJ$21,36,FALSE)-VLOOKUP($A15,'OPEX - PAN'!$A$3:$AJ$21,36,FALSE)-VLOOKUP($A15,'CAPEX - PAN'!$A$3:$AJ$21,36,FALSE)</f>
        <v>1373506.6711960323</v>
      </c>
      <c r="AK15" s="1">
        <f>VLOOKUP($A15,'RECEITAS - PAN'!$A$3:$AK$21,37,FALSE)-VLOOKUP($A15,'OPEX - PAN'!$A$3:$AK$21,37,FALSE)-VLOOKUP($A15,'CAPEX - PAN'!$A$3:$AK$21,37,FALSE)</f>
        <v>1389878.4138994943</v>
      </c>
      <c r="AL15" s="12">
        <f t="shared" si="3"/>
        <v>-111693102.75093704</v>
      </c>
      <c r="AM15" s="3">
        <f>VLOOKUP(A15,'BASE PAN - CAPEX'!$A$3:$H$22,8,FALSE)</f>
        <v>3</v>
      </c>
      <c r="AN15" s="1">
        <f t="shared" si="1"/>
        <v>-110996022.04266629</v>
      </c>
    </row>
    <row r="16" spans="1:40" x14ac:dyDescent="0.25">
      <c r="A16" t="s">
        <v>130</v>
      </c>
      <c r="B16" t="s">
        <v>131</v>
      </c>
      <c r="C16">
        <v>210170</v>
      </c>
      <c r="D16" t="s">
        <v>136</v>
      </c>
      <c r="E16" t="s">
        <v>131</v>
      </c>
      <c r="F16" t="s">
        <v>26</v>
      </c>
      <c r="G16" t="s">
        <v>28</v>
      </c>
      <c r="H16" s="1">
        <f>VLOOKUP($A16,'RECEITAS - PAN'!$A$3:$H$23,8,FALSE)-VLOOKUP($A16,'OPEX - PAN'!$A$3:$H$23,8,FALSE)-VLOOKUP($A16,'CAPEX - PAN'!$A$3:$H$23,8,FALSE)</f>
        <v>-14917324.493799999</v>
      </c>
      <c r="I16" s="1">
        <f>VLOOKUP($A16,'RECEITAS - PAN'!$A$3:$I$23,9,FALSE)-VLOOKUP($A16,'OPEX - PAN'!$A$3:$I$23,9,FALSE)-VLOOKUP($A16,'CAPEX - PAN'!$A$3:$I$21,9,FALSE)</f>
        <v>-13918358.24223645</v>
      </c>
      <c r="J16" s="1">
        <f>VLOOKUP($A16,'RECEITAS - PAN'!$A$3:$J$23,10,FALSE)-VLOOKUP($A16,'OPEX - PAN'!$A$3:$J$23,10,FALSE)-VLOOKUP($A16,'CAPEX - PAN'!$A$3:$J$21,10,FALSE)</f>
        <v>-13775318.775699999</v>
      </c>
      <c r="K16" s="1">
        <f>VLOOKUP($A16,'RECEITAS - PAN'!$A$3:$K$23,11,FALSE)-VLOOKUP($A16,'OPEX - PAN'!$A$3:$K$23,11,FALSE)-VLOOKUP($A16,'CAPEX - PAN'!$A$3:$K$21,11,FALSE)</f>
        <v>-554921.73228645104</v>
      </c>
      <c r="L16" s="1">
        <f>VLOOKUP($A16,'RECEITAS - PAN'!$A$3:$L$23,12,FALSE)-VLOOKUP($A16,'OPEX - PAN'!$A$3:$L$23,12,FALSE)-VLOOKUP($A16,'CAPEX - PAN'!$A$3:$L$21,12,FALSE)</f>
        <v>-557425.72389999987</v>
      </c>
      <c r="M16" s="1">
        <f>VLOOKUP($A16,'RECEITAS - PAN'!$A$3:$M$23,13,FALSE)-VLOOKUP($A16,'OPEX - PAN'!$A$3:$M$23,13,FALSE)-VLOOKUP($A16,'CAPEX - PAN'!$A$3:$M$21,13,FALSE)</f>
        <v>-298888.81428645097</v>
      </c>
      <c r="N16" s="1">
        <f>VLOOKUP($A16,'RECEITAS - PAN'!$A$3:$N$23,14,FALSE)-VLOOKUP($A16,'OPEX - PAN'!$A$3:$N$23,14,FALSE)-VLOOKUP($A16,'CAPEX - PAN'!$A$3:$N$21,14,FALSE)</f>
        <v>-100847.98430000013</v>
      </c>
      <c r="O16" s="1">
        <f>VLOOKUP($A16,'RECEITAS - PAN'!$A$3:$O$23,15,FALSE)-VLOOKUP($A16,'OPEX - PAN'!$A$3:$O$23,15,FALSE)-VLOOKUP($A16,'CAPEX - PAN'!$A$3:$O$21,15,FALSE)</f>
        <v>-273909.30038645066</v>
      </c>
      <c r="P16" s="1">
        <f>VLOOKUP($A16,'RECEITAS - PAN'!$A$3:$P$23,16,FALSE)-VLOOKUP($A16,'OPEX - PAN'!$A$3:$P$23,16,FALSE)-VLOOKUP($A16,'CAPEX - PAN'!$A$3:$P$21,16,FALSE)</f>
        <v>116689.12699999986</v>
      </c>
      <c r="Q16" s="1">
        <f>VLOOKUP($A16,'RECEITAS - PAN'!$A$3:$Q$23,17,FALSE)-VLOOKUP($A16,'OPEX - PAN'!$A$3:$Q$23,17,FALSE)-VLOOKUP($A16,'CAPEX - PAN'!$A$3:$Q$21,17,FALSE)</f>
        <v>-7277738.280186451</v>
      </c>
      <c r="R16" s="1">
        <f>VLOOKUP($A16,'RECEITAS - PAN'!$A$3:$R$23,18,FALSE)-VLOOKUP($A16,'OPEX - PAN'!$A$3:$R$23,18,FALSE)-VLOOKUP($A16,'CAPEX - PAN'!$A$3:$R$21,18,FALSE)</f>
        <v>323379.34320000047</v>
      </c>
      <c r="S16" s="1">
        <f>VLOOKUP($A16,'RECEITAS - PAN'!$A$3:$S$23,19,FALSE)-VLOOKUP($A16,'OPEX - PAN'!$A$3:$S$23,19,FALSE)-VLOOKUP($A16,'CAPEX - PAN'!$A$3:$S$21,19,FALSE)</f>
        <v>353513.08421354915</v>
      </c>
      <c r="T16" s="1">
        <f>VLOOKUP($A16,'RECEITAS - PAN'!$A$3:$T$23,20,FALSE)-VLOOKUP($A16,'OPEX - PAN'!$A$3:$T$23,20,FALSE)-VLOOKUP($A16,'CAPEX - PAN'!$A$3:$T$21,20,FALSE)</f>
        <v>538188.87620000029</v>
      </c>
      <c r="U16" s="1">
        <f>VLOOKUP($A16,'RECEITAS - PAN'!$A$3:$U$23,21,FALSE)-VLOOKUP($A16,'OPEX - PAN'!$A$3:$U$23,21,FALSE)-VLOOKUP($A16,'CAPEX - PAN'!$A$3:$U$21,21,FALSE)</f>
        <v>567654.93331354891</v>
      </c>
      <c r="V16" s="1">
        <f>VLOOKUP($A16,'RECEITAS - PAN'!$A$3:$V$23,22,FALSE)-VLOOKUP($A16,'OPEX - PAN'!$A$3:$V$23,22,FALSE)-VLOOKUP($A16,'CAPEX - PAN'!$A$3:$V$21,22,FALSE)</f>
        <v>-4770721.5550999995</v>
      </c>
      <c r="W16" s="1">
        <f>VLOOKUP($A16,'RECEITAS - PAN'!$A$3:$W$23,23,FALSE)-VLOOKUP($A16,'OPEX - PAN'!$A$3:$W$23,23,FALSE)-VLOOKUP($A16,'CAPEX - PAN'!$A$3:$W$21,23,FALSE)</f>
        <v>782978.53961354948</v>
      </c>
      <c r="X16" s="1">
        <f>VLOOKUP($A16,'RECEITAS - PAN'!$A$3:$X$23,24,FALSE)-VLOOKUP($A16,'OPEX - PAN'!$A$3:$X$23,24,FALSE)-VLOOKUP($A16,'CAPEX - PAN'!$A$3:$X$21,24,FALSE)</f>
        <v>966197.77960000001</v>
      </c>
      <c r="Y16" s="1">
        <f>VLOOKUP($A16,'RECEITAS - PAN'!$A$3:$Y$23,25,FALSE)-VLOOKUP($A16,'OPEX - PAN'!$A$3:$Y$23,25,FALSE)-VLOOKUP($A16,'CAPEX - PAN'!$A$3:$Y$21,25,FALSE)</f>
        <v>796384.45681354869</v>
      </c>
      <c r="Z16" s="1">
        <f>VLOOKUP($A16,'RECEITAS - PAN'!$A$3:$Z$23,26,FALSE)-VLOOKUP($A16,'OPEX - PAN'!$A$3:$Z$23,26,FALSE)-VLOOKUP($A16,'CAPEX - PAN'!$A$3:$Z$21,26,FALSE)</f>
        <v>1187362.9167999998</v>
      </c>
      <c r="AA16" s="1">
        <f>VLOOKUP($A16,'RECEITAS - PAN'!$A$3:$AA$23,27,FALSE)-VLOOKUP($A16,'OPEX - PAN'!$A$3:$AA$23,27,FALSE)-VLOOKUP($A16,'CAPEX - PAN'!$A$3:$AA$21,27,FALSE)</f>
        <v>-6199829.5492864512</v>
      </c>
      <c r="AB16" s="1">
        <f>VLOOKUP($A16,'RECEITAS - PAN'!$A$3:$AB$23,28,FALSE)-VLOOKUP($A16,'OPEX - PAN'!$A$3:$AB$23,28,FALSE)-VLOOKUP($A16,'CAPEX - PAN'!$A$3:$AB$21,28,FALSE)</f>
        <v>1409873.7929999996</v>
      </c>
      <c r="AC16" s="1">
        <f>VLOOKUP($A16,'RECEITAS - PAN'!$A$3:$AC$23,29,FALSE)-VLOOKUP($A16,'OPEX - PAN'!$A$3:$AC$23,29,FALSE)-VLOOKUP($A16,'CAPEX - PAN'!$A$3:$AC$21,29,FALSE)</f>
        <v>1433659.5280135488</v>
      </c>
      <c r="AD16" s="1">
        <f>VLOOKUP($A16,'RECEITAS - PAN'!$A$3:$AD$23,30,FALSE)-VLOOKUP($A16,'OPEX - PAN'!$A$3:$AD$23,30,FALSE)-VLOOKUP($A16,'CAPEX - PAN'!$A$3:$AD$21,30,FALSE)</f>
        <v>1616201.5051000002</v>
      </c>
      <c r="AE16" s="1">
        <f>VLOOKUP($A16,'RECEITAS - PAN'!$A$3:$AE$23,31,FALSE)-VLOOKUP($A16,'OPEX - PAN'!$A$3:$AE$23,31,FALSE)-VLOOKUP($A16,'CAPEX - PAN'!$A$3:$AE$21,31,FALSE)</f>
        <v>1641371.2120135492</v>
      </c>
      <c r="AF16" s="1">
        <f>VLOOKUP($A16,'RECEITAS - PAN'!$A$3:$AF$23,32,FALSE)-VLOOKUP($A16,'OPEX - PAN'!$A$3:$AF$23,32,FALSE)-VLOOKUP($A16,'CAPEX - PAN'!$A$3:$AF$21,32,FALSE)</f>
        <v>1613377.0625000002</v>
      </c>
      <c r="AG16" s="1">
        <f>VLOOKUP($A16,'RECEITAS - PAN'!$A$3:$AG$23,33,FALSE)-VLOOKUP($A16,'OPEX - PAN'!$A$3:$AG$23,33,FALSE)-VLOOKUP($A16,'CAPEX - PAN'!$A$3:$AG$21,33,FALSE)</f>
        <v>1845812.3353135493</v>
      </c>
      <c r="AH16" s="1">
        <f>VLOOKUP($A16,'RECEITAS - PAN'!$A$3:$AH$23,34,FALSE)-VLOOKUP($A16,'OPEX - PAN'!$A$3:$AH$23,34,FALSE)-VLOOKUP($A16,'CAPEX - PAN'!$A$3:$AH$21,34,FALSE)</f>
        <v>2027438.0140999998</v>
      </c>
      <c r="AI16" s="1">
        <f>VLOOKUP($A16,'RECEITAS - PAN'!$A$3:$AI$23,35,FALSE)-VLOOKUP($A16,'OPEX - PAN'!$A$3:$AI$23,35,FALSE)-VLOOKUP($A16,'CAPEX - PAN'!$A$3:$AI$21,35,FALSE)</f>
        <v>1850788.4329135492</v>
      </c>
      <c r="AJ16" s="1">
        <f>VLOOKUP($A16,'RECEITAS - PAN'!$A$3:$AJ$21,36,FALSE)-VLOOKUP($A16,'OPEX - PAN'!$A$3:$AJ$21,36,FALSE)-VLOOKUP($A16,'CAPEX - PAN'!$A$3:$AJ$21,36,FALSE)</f>
        <v>2280373.5420492105</v>
      </c>
      <c r="AK16" s="1">
        <f>VLOOKUP($A16,'RECEITAS - PAN'!$A$3:$AK$21,37,FALSE)-VLOOKUP($A16,'OPEX - PAN'!$A$3:$AK$21,37,FALSE)-VLOOKUP($A16,'CAPEX - PAN'!$A$3:$AK$21,37,FALSE)</f>
        <v>2303929.2826698027</v>
      </c>
      <c r="AL16" s="12">
        <f t="shared" ref="AL16" si="4">SUM(H16:AK16)</f>
        <v>-38990110.687041305</v>
      </c>
      <c r="AM16" s="3">
        <f>VLOOKUP(A16,'BASE PAN - CAPEX'!$A$3:$H$22,8,FALSE)</f>
        <v>3</v>
      </c>
      <c r="AN16" s="1">
        <f t="shared" si="1"/>
        <v>-54546029.53825517</v>
      </c>
    </row>
    <row r="17" spans="1:40" x14ac:dyDescent="0.25">
      <c r="A17" t="s">
        <v>91</v>
      </c>
      <c r="B17" s="4" t="s">
        <v>132</v>
      </c>
      <c r="C17">
        <v>510677</v>
      </c>
      <c r="D17" t="s">
        <v>137</v>
      </c>
      <c r="E17" t="str">
        <f>VLOOKUP(A17,'BASE PAN - CAPEX'!$A$3:$D$22,4,FALSE)</f>
        <v>Porto Alegre do Norte</v>
      </c>
      <c r="F17" t="s">
        <v>32</v>
      </c>
      <c r="G17" t="s">
        <v>28</v>
      </c>
      <c r="H17" s="1">
        <f>VLOOKUP($A17,'RECEITAS - PAN'!$A$3:$H$23,8,FALSE)-VLOOKUP($A17,'OPEX - PAN'!$A$3:$H$23,8,FALSE)-VLOOKUP($A17,'CAPEX - PAN'!$A$3:$H$23,8,FALSE)</f>
        <v>-9990390.6302000005</v>
      </c>
      <c r="I17" s="1">
        <f>VLOOKUP($A17,'RECEITAS - PAN'!$A$3:$I$23,9,FALSE)-VLOOKUP($A17,'OPEX - PAN'!$A$3:$I$23,9,FALSE)-VLOOKUP($A17,'CAPEX - PAN'!$A$3:$I$21,9,FALSE)</f>
        <v>-4362745.0818499997</v>
      </c>
      <c r="J17" s="1">
        <f>VLOOKUP($A17,'RECEITAS - PAN'!$A$3:$J$23,10,FALSE)-VLOOKUP($A17,'OPEX - PAN'!$A$3:$J$23,10,FALSE)-VLOOKUP($A17,'CAPEX - PAN'!$A$3:$J$21,10,FALSE)</f>
        <v>-4362721.8563000001</v>
      </c>
      <c r="K17" s="1">
        <f>VLOOKUP($A17,'RECEITAS - PAN'!$A$3:$K$23,11,FALSE)-VLOOKUP($A17,'OPEX - PAN'!$A$3:$K$23,11,FALSE)-VLOOKUP($A17,'CAPEX - PAN'!$A$3:$K$21,11,FALSE)</f>
        <v>-1043099.2886000001</v>
      </c>
      <c r="L17" s="1">
        <f>VLOOKUP($A17,'RECEITAS - PAN'!$A$3:$L$23,12,FALSE)-VLOOKUP($A17,'OPEX - PAN'!$A$3:$L$23,12,FALSE)-VLOOKUP($A17,'CAPEX - PAN'!$A$3:$L$21,12,FALSE)</f>
        <v>-1124263.5245000001</v>
      </c>
      <c r="M17" s="1">
        <f>VLOOKUP($A17,'RECEITAS - PAN'!$A$3:$M$23,13,FALSE)-VLOOKUP($A17,'OPEX - PAN'!$A$3:$M$23,13,FALSE)-VLOOKUP($A17,'CAPEX - PAN'!$A$3:$M$21,13,FALSE)</f>
        <v>-1042944.6404000001</v>
      </c>
      <c r="N17" s="1">
        <f>VLOOKUP($A17,'RECEITAS - PAN'!$A$3:$N$23,14,FALSE)-VLOOKUP($A17,'OPEX - PAN'!$A$3:$N$23,14,FALSE)-VLOOKUP($A17,'CAPEX - PAN'!$A$3:$N$21,14,FALSE)</f>
        <v>-1042893.091</v>
      </c>
      <c r="O17" s="1">
        <f>VLOOKUP($A17,'RECEITAS - PAN'!$A$3:$O$23,15,FALSE)-VLOOKUP($A17,'OPEX - PAN'!$A$3:$O$23,15,FALSE)-VLOOKUP($A17,'CAPEX - PAN'!$A$3:$O$21,15,FALSE)</f>
        <v>-1124057.327</v>
      </c>
      <c r="P17" s="1">
        <f>VLOOKUP($A17,'RECEITAS - PAN'!$A$3:$P$23,16,FALSE)-VLOOKUP($A17,'OPEX - PAN'!$A$3:$P$23,16,FALSE)-VLOOKUP($A17,'CAPEX - PAN'!$A$3:$P$21,16,FALSE)</f>
        <v>-1042738.4428999999</v>
      </c>
      <c r="Q17" s="1">
        <f>VLOOKUP($A17,'RECEITAS - PAN'!$A$3:$Q$23,17,FALSE)-VLOOKUP($A17,'OPEX - PAN'!$A$3:$Q$23,17,FALSE)-VLOOKUP($A17,'CAPEX - PAN'!$A$3:$Q$21,17,FALSE)</f>
        <v>-4792381.5788000003</v>
      </c>
      <c r="R17" s="1">
        <f>VLOOKUP($A17,'RECEITAS - PAN'!$A$3:$R$23,18,FALSE)-VLOOKUP($A17,'OPEX - PAN'!$A$3:$R$23,18,FALSE)-VLOOKUP($A17,'CAPEX - PAN'!$A$3:$R$21,18,FALSE)</f>
        <v>-1042583.7947</v>
      </c>
      <c r="S17" s="1">
        <f>VLOOKUP($A17,'RECEITAS - PAN'!$A$3:$S$23,19,FALSE)-VLOOKUP($A17,'OPEX - PAN'!$A$3:$S$23,19,FALSE)-VLOOKUP($A17,'CAPEX - PAN'!$A$3:$S$21,19,FALSE)</f>
        <v>-1042532.2453999999</v>
      </c>
      <c r="T17" s="1">
        <f>VLOOKUP($A17,'RECEITAS - PAN'!$A$3:$T$23,20,FALSE)-VLOOKUP($A17,'OPEX - PAN'!$A$3:$T$23,20,FALSE)-VLOOKUP($A17,'CAPEX - PAN'!$A$3:$T$21,20,FALSE)</f>
        <v>-1042454.9213</v>
      </c>
      <c r="U17" s="1">
        <f>VLOOKUP($A17,'RECEITAS - PAN'!$A$3:$U$23,21,FALSE)-VLOOKUP($A17,'OPEX - PAN'!$A$3:$U$23,21,FALSE)-VLOOKUP($A17,'CAPEX - PAN'!$A$3:$U$21,21,FALSE)</f>
        <v>-1042377.5971</v>
      </c>
      <c r="V17" s="1">
        <f>VLOOKUP($A17,'RECEITAS - PAN'!$A$3:$V$23,22,FALSE)-VLOOKUP($A17,'OPEX - PAN'!$A$3:$V$23,22,FALSE)-VLOOKUP($A17,'CAPEX - PAN'!$A$3:$V$21,22,FALSE)</f>
        <v>-2981114.2530999999</v>
      </c>
      <c r="W17" s="1">
        <f>VLOOKUP($A17,'RECEITAS - PAN'!$A$3:$W$23,23,FALSE)-VLOOKUP($A17,'OPEX - PAN'!$A$3:$W$23,23,FALSE)-VLOOKUP($A17,'CAPEX - PAN'!$A$3:$W$21,23,FALSE)</f>
        <v>-1042222.949</v>
      </c>
      <c r="X17" s="1">
        <f>VLOOKUP($A17,'RECEITAS - PAN'!$A$3:$X$23,24,FALSE)-VLOOKUP($A17,'OPEX - PAN'!$A$3:$X$23,24,FALSE)-VLOOKUP($A17,'CAPEX - PAN'!$A$3:$X$21,24,FALSE)</f>
        <v>-1042145.6248999999</v>
      </c>
      <c r="Y17" s="1">
        <f>VLOOKUP($A17,'RECEITAS - PAN'!$A$3:$Y$23,25,FALSE)-VLOOKUP($A17,'OPEX - PAN'!$A$3:$Y$23,25,FALSE)-VLOOKUP($A17,'CAPEX - PAN'!$A$3:$Y$21,25,FALSE)</f>
        <v>-1123309.8609</v>
      </c>
      <c r="Z17" s="1">
        <f>VLOOKUP($A17,'RECEITAS - PAN'!$A$3:$Z$23,26,FALSE)-VLOOKUP($A17,'OPEX - PAN'!$A$3:$Z$23,26,FALSE)-VLOOKUP($A17,'CAPEX - PAN'!$A$3:$Z$21,26,FALSE)</f>
        <v>-1041990.9768000001</v>
      </c>
      <c r="AA17" s="1">
        <f>VLOOKUP($A17,'RECEITAS - PAN'!$A$3:$AA$23,27,FALSE)-VLOOKUP($A17,'OPEX - PAN'!$A$3:$AA$23,27,FALSE)-VLOOKUP($A17,'CAPEX - PAN'!$A$3:$AA$21,27,FALSE)</f>
        <v>-4791634.1127000004</v>
      </c>
      <c r="AB17" s="1">
        <f>VLOOKUP($A17,'RECEITAS - PAN'!$A$3:$AB$23,28,FALSE)-VLOOKUP($A17,'OPEX - PAN'!$A$3:$AB$23,28,FALSE)-VLOOKUP($A17,'CAPEX - PAN'!$A$3:$AB$21,28,FALSE)</f>
        <v>-1041836.3287</v>
      </c>
      <c r="AC17" s="1">
        <f>VLOOKUP($A17,'RECEITAS - PAN'!$A$3:$AC$23,29,FALSE)-VLOOKUP($A17,'OPEX - PAN'!$A$3:$AC$23,29,FALSE)-VLOOKUP($A17,'CAPEX - PAN'!$A$3:$AC$21,29,FALSE)</f>
        <v>-1041759.0045</v>
      </c>
      <c r="AD17" s="1">
        <f>VLOOKUP($A17,'RECEITAS - PAN'!$A$3:$AD$23,30,FALSE)-VLOOKUP($A17,'OPEX - PAN'!$A$3:$AD$23,30,FALSE)-VLOOKUP($A17,'CAPEX - PAN'!$A$3:$AD$21,30,FALSE)</f>
        <v>-1041681.6805</v>
      </c>
      <c r="AE17" s="1">
        <f>VLOOKUP($A17,'RECEITAS - PAN'!$A$3:$AE$23,31,FALSE)-VLOOKUP($A17,'OPEX - PAN'!$A$3:$AE$23,31,FALSE)-VLOOKUP($A17,'CAPEX - PAN'!$A$3:$AE$21,31,FALSE)</f>
        <v>-1041604.3563999999</v>
      </c>
      <c r="AF17" s="1">
        <f>VLOOKUP($A17,'RECEITAS - PAN'!$A$3:$AF$23,32,FALSE)-VLOOKUP($A17,'OPEX - PAN'!$A$3:$AF$23,32,FALSE)-VLOOKUP($A17,'CAPEX - PAN'!$A$3:$AF$21,32,FALSE)</f>
        <v>-1122768.5923000001</v>
      </c>
      <c r="AG17" s="1">
        <f>VLOOKUP($A17,'RECEITAS - PAN'!$A$3:$AG$23,33,FALSE)-VLOOKUP($A17,'OPEX - PAN'!$A$3:$AG$23,33,FALSE)-VLOOKUP($A17,'CAPEX - PAN'!$A$3:$AG$21,33,FALSE)</f>
        <v>-1041449.7083000001</v>
      </c>
      <c r="AH17" s="1">
        <f>VLOOKUP($A17,'RECEITAS - PAN'!$A$3:$AH$23,34,FALSE)-VLOOKUP($A17,'OPEX - PAN'!$A$3:$AH$23,34,FALSE)-VLOOKUP($A17,'CAPEX - PAN'!$A$3:$AH$21,34,FALSE)</f>
        <v>-1041372.3842</v>
      </c>
      <c r="AI17" s="1">
        <f>VLOOKUP($A17,'RECEITAS - PAN'!$A$3:$AI$23,35,FALSE)-VLOOKUP($A17,'OPEX - PAN'!$A$3:$AI$23,35,FALSE)-VLOOKUP($A17,'CAPEX - PAN'!$A$3:$AI$21,35,FALSE)</f>
        <v>-1122521.6218000001</v>
      </c>
      <c r="AJ17" s="1">
        <f>VLOOKUP($A17,'RECEITAS - PAN'!$A$3:$AJ$21,36,FALSE)-VLOOKUP($A17,'OPEX - PAN'!$A$3:$AJ$21,36,FALSE)-VLOOKUP($A17,'CAPEX - PAN'!$A$3:$AJ$21,36,FALSE)</f>
        <v>-1041236.0495174603</v>
      </c>
      <c r="AK17" s="1">
        <f>VLOOKUP($A17,'RECEITAS - PAN'!$A$3:$AK$21,37,FALSE)-VLOOKUP($A17,'OPEX - PAN'!$A$3:$AK$21,37,FALSE)-VLOOKUP($A17,'CAPEX - PAN'!$A$3:$AK$21,37,FALSE)</f>
        <v>-1041159.2105159863</v>
      </c>
      <c r="AL17" s="12">
        <f t="shared" si="3"/>
        <v>-56697990.734183446</v>
      </c>
      <c r="AM17" s="3">
        <f>VLOOKUP(A17,'BASE PAN - CAPEX'!$A$3:$H$22,8,FALSE)</f>
        <v>0</v>
      </c>
      <c r="AN17" s="1">
        <f t="shared" si="1"/>
        <v>-37079298.273150004</v>
      </c>
    </row>
    <row r="18" spans="1:40" s="17" customFormat="1" x14ac:dyDescent="0.25">
      <c r="A18" s="17" t="s">
        <v>154</v>
      </c>
      <c r="B18" s="30" t="s">
        <v>155</v>
      </c>
      <c r="C18" s="17">
        <v>260110</v>
      </c>
      <c r="D18" s="17" t="s">
        <v>156</v>
      </c>
      <c r="E18" s="17" t="s">
        <v>155</v>
      </c>
      <c r="F18" s="17" t="s">
        <v>31</v>
      </c>
      <c r="G18" s="17" t="s">
        <v>28</v>
      </c>
      <c r="H18" s="1">
        <f>VLOOKUP($A18,'RECEITAS - PAN'!$A$3:$H$23,8,FALSE)-VLOOKUP($A18,'OPEX - PAN'!$A$3:$H$23,8,FALSE)-VLOOKUP($A18,'CAPEX - PAN'!$A$3:$H$23,8,FALSE)</f>
        <v>-8323892.1006000005</v>
      </c>
      <c r="I18" s="1">
        <f>VLOOKUP($A18,'RECEITAS - PAN'!$A$3:$I$23,9,FALSE)-VLOOKUP($A18,'OPEX - PAN'!$A$3:$I$23,9,FALSE)-VLOOKUP($A18,'CAPEX - PAN'!$A$3:$I$21,9,FALSE)</f>
        <v>-2636363.2539999997</v>
      </c>
      <c r="J18" s="1">
        <f>VLOOKUP($A18,'RECEITAS - PAN'!$A$3:$J$23,10,FALSE)-VLOOKUP($A18,'OPEX - PAN'!$A$3:$J$23,10,FALSE)-VLOOKUP($A18,'CAPEX - PAN'!$A$3:$J$21,10,FALSE)</f>
        <v>-2636281.9645499997</v>
      </c>
      <c r="K18" s="1">
        <f>VLOOKUP($A18,'RECEITAS - PAN'!$A$3:$K$23,11,FALSE)-VLOOKUP($A18,'OPEX - PAN'!$A$3:$K$23,11,FALSE)-VLOOKUP($A18,'CAPEX - PAN'!$A$3:$K$21,11,FALSE)</f>
        <v>-1252443.0026</v>
      </c>
      <c r="L18" s="1">
        <f>VLOOKUP($A18,'RECEITAS - PAN'!$A$3:$L$23,12,FALSE)-VLOOKUP($A18,'OPEX - PAN'!$A$3:$L$23,12,FALSE)-VLOOKUP($A18,'CAPEX - PAN'!$A$3:$L$21,12,FALSE)</f>
        <v>-1320739.4345000002</v>
      </c>
      <c r="M18" s="1">
        <f>VLOOKUP($A18,'RECEITAS - PAN'!$A$3:$M$23,13,FALSE)-VLOOKUP($A18,'OPEX - PAN'!$A$3:$M$23,13,FALSE)-VLOOKUP($A18,'CAPEX - PAN'!$A$3:$M$21,13,FALSE)</f>
        <v>-1252107.9317000001</v>
      </c>
      <c r="N18" s="1">
        <f>VLOOKUP($A18,'RECEITAS - PAN'!$A$3:$N$23,14,FALSE)-VLOOKUP($A18,'OPEX - PAN'!$A$3:$N$23,14,FALSE)-VLOOKUP($A18,'CAPEX - PAN'!$A$3:$N$21,14,FALSE)</f>
        <v>-1251927.5088</v>
      </c>
      <c r="O18" s="1">
        <f>VLOOKUP($A18,'RECEITAS - PAN'!$A$3:$O$23,15,FALSE)-VLOOKUP($A18,'OPEX - PAN'!$A$3:$O$23,15,FALSE)-VLOOKUP($A18,'CAPEX - PAN'!$A$3:$O$21,15,FALSE)</f>
        <v>-1320198.1659000001</v>
      </c>
      <c r="P18" s="1">
        <f>VLOOKUP($A18,'RECEITAS - PAN'!$A$3:$P$23,16,FALSE)-VLOOKUP($A18,'OPEX - PAN'!$A$3:$P$23,16,FALSE)-VLOOKUP($A18,'CAPEX - PAN'!$A$3:$P$21,16,FALSE)</f>
        <v>-1251566.6632000001</v>
      </c>
      <c r="Q18" s="1">
        <f>VLOOKUP($A18,'RECEITAS - PAN'!$A$3:$Q$23,17,FALSE)-VLOOKUP($A18,'OPEX - PAN'!$A$3:$Q$23,17,FALSE)-VLOOKUP($A18,'CAPEX - PAN'!$A$3:$Q$21,17,FALSE)</f>
        <v>-5095324.3602999998</v>
      </c>
      <c r="R18" s="1">
        <f>VLOOKUP($A18,'RECEITAS - PAN'!$A$3:$R$23,18,FALSE)-VLOOKUP($A18,'OPEX - PAN'!$A$3:$R$23,18,FALSE)-VLOOKUP($A18,'CAPEX - PAN'!$A$3:$R$21,18,FALSE)</f>
        <v>-1251205.8173999998</v>
      </c>
      <c r="S18" s="1">
        <f>VLOOKUP($A18,'RECEITAS - PAN'!$A$3:$S$23,19,FALSE)-VLOOKUP($A18,'OPEX - PAN'!$A$3:$S$23,19,FALSE)-VLOOKUP($A18,'CAPEX - PAN'!$A$3:$S$21,19,FALSE)</f>
        <v>-1250999.6199</v>
      </c>
      <c r="T18" s="1">
        <f>VLOOKUP($A18,'RECEITAS - PAN'!$A$3:$T$23,20,FALSE)-VLOOKUP($A18,'OPEX - PAN'!$A$3:$T$23,20,FALSE)-VLOOKUP($A18,'CAPEX - PAN'!$A$3:$T$21,20,FALSE)</f>
        <v>-1250804.1987000001</v>
      </c>
      <c r="U18" s="1">
        <f>VLOOKUP($A18,'RECEITAS - PAN'!$A$3:$U$23,21,FALSE)-VLOOKUP($A18,'OPEX - PAN'!$A$3:$U$23,21,FALSE)-VLOOKUP($A18,'CAPEX - PAN'!$A$3:$U$21,21,FALSE)</f>
        <v>-1250598.0012000001</v>
      </c>
      <c r="V18" s="1">
        <f>VLOOKUP($A18,'RECEITAS - PAN'!$A$3:$V$23,22,FALSE)-VLOOKUP($A18,'OPEX - PAN'!$A$3:$V$23,22,FALSE)-VLOOKUP($A18,'CAPEX - PAN'!$A$3:$V$21,22,FALSE)</f>
        <v>-3162389.7083000001</v>
      </c>
      <c r="W18" s="1">
        <f>VLOOKUP($A18,'RECEITAS - PAN'!$A$3:$W$23,23,FALSE)-VLOOKUP($A18,'OPEX - PAN'!$A$3:$W$23,23,FALSE)-VLOOKUP($A18,'CAPEX - PAN'!$A$3:$W$21,23,FALSE)</f>
        <v>-1250211.3808000002</v>
      </c>
      <c r="X18" s="1">
        <f>VLOOKUP($A18,'RECEITAS - PAN'!$A$3:$X$23,24,FALSE)-VLOOKUP($A18,'OPEX - PAN'!$A$3:$X$23,24,FALSE)-VLOOKUP($A18,'CAPEX - PAN'!$A$3:$X$21,24,FALSE)</f>
        <v>-1250005.1832000001</v>
      </c>
      <c r="Y18" s="1">
        <f>VLOOKUP($A18,'RECEITAS - PAN'!$A$3:$Y$23,25,FALSE)-VLOOKUP($A18,'OPEX - PAN'!$A$3:$Y$23,25,FALSE)-VLOOKUP($A18,'CAPEX - PAN'!$A$3:$Y$21,25,FALSE)</f>
        <v>-1318250.0656999999</v>
      </c>
      <c r="Z18" s="1">
        <f>VLOOKUP($A18,'RECEITAS - PAN'!$A$3:$Z$23,26,FALSE)-VLOOKUP($A18,'OPEX - PAN'!$A$3:$Z$23,26,FALSE)-VLOOKUP($A18,'CAPEX - PAN'!$A$3:$Z$21,26,FALSE)</f>
        <v>-1249592.7882000001</v>
      </c>
      <c r="AA18" s="1">
        <f>VLOOKUP($A18,'RECEITAS - PAN'!$A$3:$AA$23,27,FALSE)-VLOOKUP($A18,'OPEX - PAN'!$A$3:$AA$23,27,FALSE)-VLOOKUP($A18,'CAPEX - PAN'!$A$3:$AA$21,27,FALSE)</f>
        <v>-5093324.7105999999</v>
      </c>
      <c r="AB18" s="1">
        <f>VLOOKUP($A18,'RECEITAS - PAN'!$A$3:$AB$23,28,FALSE)-VLOOKUP($A18,'OPEX - PAN'!$A$3:$AB$23,28,FALSE)-VLOOKUP($A18,'CAPEX - PAN'!$A$3:$AB$21,28,FALSE)</f>
        <v>-1249180.3931</v>
      </c>
      <c r="AC18" s="1">
        <f>VLOOKUP($A18,'RECEITAS - PAN'!$A$3:$AC$23,29,FALSE)-VLOOKUP($A18,'OPEX - PAN'!$A$3:$AC$23,29,FALSE)-VLOOKUP($A18,'CAPEX - PAN'!$A$3:$AC$21,29,FALSE)</f>
        <v>-1248948.4209</v>
      </c>
      <c r="AD18" s="1">
        <f>VLOOKUP($A18,'RECEITAS - PAN'!$A$3:$AD$23,30,FALSE)-VLOOKUP($A18,'OPEX - PAN'!$A$3:$AD$23,30,FALSE)-VLOOKUP($A18,'CAPEX - PAN'!$A$3:$AD$21,30,FALSE)</f>
        <v>-1248742.2234</v>
      </c>
      <c r="AE18" s="1">
        <f>VLOOKUP($A18,'RECEITAS - PAN'!$A$3:$AE$23,31,FALSE)-VLOOKUP($A18,'OPEX - PAN'!$A$3:$AE$23,31,FALSE)-VLOOKUP($A18,'CAPEX - PAN'!$A$3:$AE$21,31,FALSE)</f>
        <v>-1248510.2512000001</v>
      </c>
      <c r="AF18" s="1">
        <f>VLOOKUP($A18,'RECEITAS - PAN'!$A$3:$AF$23,32,FALSE)-VLOOKUP($A18,'OPEX - PAN'!$A$3:$AF$23,32,FALSE)-VLOOKUP($A18,'CAPEX - PAN'!$A$3:$AF$21,32,FALSE)</f>
        <v>-1316755.1336000001</v>
      </c>
      <c r="AG18" s="1">
        <f>VLOOKUP($A18,'RECEITAS - PAN'!$A$3:$AG$23,33,FALSE)-VLOOKUP($A18,'OPEX - PAN'!$A$3:$AG$23,33,FALSE)-VLOOKUP($A18,'CAPEX - PAN'!$A$3:$AG$21,33,FALSE)</f>
        <v>-1248072.0813</v>
      </c>
      <c r="AH18" s="1">
        <f>VLOOKUP($A18,'RECEITAS - PAN'!$A$3:$AH$23,34,FALSE)-VLOOKUP($A18,'OPEX - PAN'!$A$3:$AH$23,34,FALSE)-VLOOKUP($A18,'CAPEX - PAN'!$A$3:$AH$21,34,FALSE)</f>
        <v>-1247840.1091</v>
      </c>
      <c r="AI18" s="1">
        <f>VLOOKUP($A18,'RECEITAS - PAN'!$A$3:$AI$23,35,FALSE)-VLOOKUP($A18,'OPEX - PAN'!$A$3:$AI$23,35,FALSE)-VLOOKUP($A18,'CAPEX - PAN'!$A$3:$AI$21,35,FALSE)</f>
        <v>-1316059.2170000002</v>
      </c>
      <c r="AJ18" s="1">
        <f>VLOOKUP($A18,'RECEITAS - PAN'!$A$3:$AJ$21,36,FALSE)-VLOOKUP($A18,'OPEX - PAN'!$A$3:$AJ$21,36,FALSE)-VLOOKUP($A18,'CAPEX - PAN'!$A$3:$AJ$21,36,FALSE)</f>
        <v>-1247557.9294690478</v>
      </c>
      <c r="AK18" s="1">
        <f>VLOOKUP($A18,'RECEITAS - PAN'!$A$3:$AK$21,37,FALSE)-VLOOKUP($A18,'OPEX - PAN'!$A$3:$AK$21,37,FALSE)-VLOOKUP($A18,'CAPEX - PAN'!$A$3:$AK$21,37,FALSE)</f>
        <v>-1247348.0034725626</v>
      </c>
      <c r="AL18" s="31">
        <f t="shared" ref="AL18" si="5">SUM(H18:AK18)</f>
        <v>-57287239.622691609</v>
      </c>
      <c r="AM18" s="3">
        <f>VLOOKUP(A18,'BASE PAN - CAPEX'!$A$3:$H$22,8,FALSE)</f>
        <v>0</v>
      </c>
      <c r="AN18" s="1">
        <f t="shared" si="1"/>
        <v>-34506841.731650002</v>
      </c>
    </row>
    <row r="19" spans="1:40" s="17" customFormat="1" x14ac:dyDescent="0.25">
      <c r="A19" s="17" t="s">
        <v>157</v>
      </c>
      <c r="B19" s="30" t="s">
        <v>158</v>
      </c>
      <c r="C19" s="17">
        <v>260600</v>
      </c>
      <c r="D19" s="17" t="s">
        <v>159</v>
      </c>
      <c r="E19" s="17" t="s">
        <v>158</v>
      </c>
      <c r="F19" s="17" t="s">
        <v>31</v>
      </c>
      <c r="G19" s="17" t="s">
        <v>28</v>
      </c>
      <c r="H19" s="1">
        <f>VLOOKUP($A19,'RECEITAS - PAN'!$A$3:$H$23,8,FALSE)-VLOOKUP($A19,'OPEX - PAN'!$A$3:$H$23,8,FALSE)-VLOOKUP($A19,'CAPEX - PAN'!$A$3:$H$23,8,FALSE)</f>
        <v>-8955974.0272666663</v>
      </c>
      <c r="I19" s="1">
        <f>VLOOKUP($A19,'RECEITAS - PAN'!$A$3:$I$23,9,FALSE)-VLOOKUP($A19,'OPEX - PAN'!$A$3:$I$23,9,FALSE)-VLOOKUP($A19,'CAPEX - PAN'!$A$3:$I$21,9,FALSE)</f>
        <v>-3439041.5333666671</v>
      </c>
      <c r="J19" s="1">
        <f>VLOOKUP($A19,'RECEITAS - PAN'!$A$3:$J$23,10,FALSE)-VLOOKUP($A19,'OPEX - PAN'!$A$3:$J$23,10,FALSE)-VLOOKUP($A19,'CAPEX - PAN'!$A$3:$J$21,10,FALSE)</f>
        <v>-3438971.8567666672</v>
      </c>
      <c r="K19" s="1">
        <f>VLOOKUP($A19,'RECEITAS - PAN'!$A$3:$K$23,11,FALSE)-VLOOKUP($A19,'OPEX - PAN'!$A$3:$K$23,11,FALSE)-VLOOKUP($A19,'CAPEX - PAN'!$A$3:$K$21,11,FALSE)</f>
        <v>-1252546.1014</v>
      </c>
      <c r="L19" s="1">
        <f>VLOOKUP($A19,'RECEITAS - PAN'!$A$3:$L$23,12,FALSE)-VLOOKUP($A19,'OPEX - PAN'!$A$3:$L$23,12,FALSE)-VLOOKUP($A19,'CAPEX - PAN'!$A$3:$L$21,12,FALSE)</f>
        <v>-1315214.4532999999</v>
      </c>
      <c r="M19" s="1">
        <f>VLOOKUP($A19,'RECEITAS - PAN'!$A$3:$M$23,13,FALSE)-VLOOKUP($A19,'OPEX - PAN'!$A$3:$M$23,13,FALSE)-VLOOKUP($A19,'CAPEX - PAN'!$A$3:$M$21,13,FALSE)</f>
        <v>-1252236.8051</v>
      </c>
      <c r="N19" s="1">
        <f>VLOOKUP($A19,'RECEITAS - PAN'!$A$3:$N$23,14,FALSE)-VLOOKUP($A19,'OPEX - PAN'!$A$3:$N$23,14,FALSE)-VLOOKUP($A19,'CAPEX - PAN'!$A$3:$N$21,14,FALSE)</f>
        <v>-1252107.9317000001</v>
      </c>
      <c r="O19" s="1">
        <f>VLOOKUP($A19,'RECEITAS - PAN'!$A$3:$O$23,15,FALSE)-VLOOKUP($A19,'OPEX - PAN'!$A$3:$O$23,15,FALSE)-VLOOKUP($A19,'CAPEX - PAN'!$A$3:$O$21,15,FALSE)</f>
        <v>-1314776.2834999999</v>
      </c>
      <c r="P19" s="1">
        <f>VLOOKUP($A19,'RECEITAS - PAN'!$A$3:$P$23,16,FALSE)-VLOOKUP($A19,'OPEX - PAN'!$A$3:$P$23,16,FALSE)-VLOOKUP($A19,'CAPEX - PAN'!$A$3:$P$21,16,FALSE)</f>
        <v>-1251798.6353</v>
      </c>
      <c r="Q19" s="1">
        <f>VLOOKUP($A19,'RECEITAS - PAN'!$A$3:$Q$23,17,FALSE)-VLOOKUP($A19,'OPEX - PAN'!$A$3:$Q$23,17,FALSE)-VLOOKUP($A19,'CAPEX - PAN'!$A$3:$Q$21,17,FALSE)</f>
        <v>-5337596.2971999999</v>
      </c>
      <c r="R19" s="1">
        <f>VLOOKUP($A19,'RECEITAS - PAN'!$A$3:$R$23,18,FALSE)-VLOOKUP($A19,'OPEX - PAN'!$A$3:$R$23,18,FALSE)-VLOOKUP($A19,'CAPEX - PAN'!$A$3:$R$21,18,FALSE)</f>
        <v>-1251489.3391</v>
      </c>
      <c r="S19" s="1">
        <f>VLOOKUP($A19,'RECEITAS - PAN'!$A$3:$S$23,19,FALSE)-VLOOKUP($A19,'OPEX - PAN'!$A$3:$S$23,19,FALSE)-VLOOKUP($A19,'CAPEX - PAN'!$A$3:$S$21,19,FALSE)</f>
        <v>-1251334.6909</v>
      </c>
      <c r="T19" s="1">
        <f>VLOOKUP($A19,'RECEITAS - PAN'!$A$3:$T$23,20,FALSE)-VLOOKUP($A19,'OPEX - PAN'!$A$3:$T$23,20,FALSE)-VLOOKUP($A19,'CAPEX - PAN'!$A$3:$T$21,20,FALSE)</f>
        <v>-1251180.0427000001</v>
      </c>
      <c r="U19" s="1">
        <f>VLOOKUP($A19,'RECEITAS - PAN'!$A$3:$U$23,21,FALSE)-VLOOKUP($A19,'OPEX - PAN'!$A$3:$U$23,21,FALSE)-VLOOKUP($A19,'CAPEX - PAN'!$A$3:$U$21,21,FALSE)</f>
        <v>-1251025.3946</v>
      </c>
      <c r="V19" s="1">
        <f>VLOOKUP($A19,'RECEITAS - PAN'!$A$3:$V$23,22,FALSE)-VLOOKUP($A19,'OPEX - PAN'!$A$3:$V$23,22,FALSE)-VLOOKUP($A19,'CAPEX - PAN'!$A$3:$V$21,22,FALSE)</f>
        <v>-2883744.1680999999</v>
      </c>
      <c r="W19" s="1">
        <f>VLOOKUP($A19,'RECEITAS - PAN'!$A$3:$W$23,23,FALSE)-VLOOKUP($A19,'OPEX - PAN'!$A$3:$W$23,23,FALSE)-VLOOKUP($A19,'CAPEX - PAN'!$A$3:$W$21,23,FALSE)</f>
        <v>-1250675.3252999999</v>
      </c>
      <c r="X19" s="1">
        <f>VLOOKUP($A19,'RECEITAS - PAN'!$A$3:$X$23,24,FALSE)-VLOOKUP($A19,'OPEX - PAN'!$A$3:$X$23,24,FALSE)-VLOOKUP($A19,'CAPEX - PAN'!$A$3:$X$21,24,FALSE)</f>
        <v>-1250520.6771</v>
      </c>
      <c r="Y19" s="1">
        <f>VLOOKUP($A19,'RECEITAS - PAN'!$A$3:$Y$23,25,FALSE)-VLOOKUP($A19,'OPEX - PAN'!$A$3:$Y$23,25,FALSE)-VLOOKUP($A19,'CAPEX - PAN'!$A$3:$Y$21,25,FALSE)</f>
        <v>-1313163.2541999999</v>
      </c>
      <c r="Z19" s="1">
        <f>VLOOKUP($A19,'RECEITAS - PAN'!$A$3:$Z$23,26,FALSE)-VLOOKUP($A19,'OPEX - PAN'!$A$3:$Z$23,26,FALSE)-VLOOKUP($A19,'CAPEX - PAN'!$A$3:$Z$21,26,FALSE)</f>
        <v>-1250185.6061</v>
      </c>
      <c r="AA19" s="1">
        <f>VLOOKUP($A19,'RECEITAS - PAN'!$A$3:$AA$23,27,FALSE)-VLOOKUP($A19,'OPEX - PAN'!$A$3:$AA$23,27,FALSE)-VLOOKUP($A19,'CAPEX - PAN'!$A$3:$AA$21,27,FALSE)</f>
        <v>-5335957.4932000004</v>
      </c>
      <c r="AB19" s="1">
        <f>VLOOKUP($A19,'RECEITAS - PAN'!$A$3:$AB$23,28,FALSE)-VLOOKUP($A19,'OPEX - PAN'!$A$3:$AB$23,28,FALSE)-VLOOKUP($A19,'CAPEX - PAN'!$A$3:$AB$21,28,FALSE)</f>
        <v>-1249850.5351</v>
      </c>
      <c r="AC19" s="1">
        <f>VLOOKUP($A19,'RECEITAS - PAN'!$A$3:$AC$23,29,FALSE)-VLOOKUP($A19,'OPEX - PAN'!$A$3:$AC$23,29,FALSE)-VLOOKUP($A19,'CAPEX - PAN'!$A$3:$AC$21,29,FALSE)</f>
        <v>-1249670.1122999999</v>
      </c>
      <c r="AD19" s="1">
        <f>VLOOKUP($A19,'RECEITAS - PAN'!$A$3:$AD$23,30,FALSE)-VLOOKUP($A19,'OPEX - PAN'!$A$3:$AD$23,30,FALSE)-VLOOKUP($A19,'CAPEX - PAN'!$A$3:$AD$21,30,FALSE)</f>
        <v>-1249489.6894</v>
      </c>
      <c r="AE19" s="1">
        <f>VLOOKUP($A19,'RECEITAS - PAN'!$A$3:$AE$23,31,FALSE)-VLOOKUP($A19,'OPEX - PAN'!$A$3:$AE$23,31,FALSE)-VLOOKUP($A19,'CAPEX - PAN'!$A$3:$AE$21,31,FALSE)</f>
        <v>-1249309.2666</v>
      </c>
      <c r="AF19" s="1">
        <f>VLOOKUP($A19,'RECEITAS - PAN'!$A$3:$AF$23,32,FALSE)-VLOOKUP($A19,'OPEX - PAN'!$A$3:$AF$23,32,FALSE)-VLOOKUP($A19,'CAPEX - PAN'!$A$3:$AF$21,32,FALSE)</f>
        <v>-1311951.8437999999</v>
      </c>
      <c r="AG19" s="1">
        <f>VLOOKUP($A19,'RECEITAS - PAN'!$A$3:$AG$23,33,FALSE)-VLOOKUP($A19,'OPEX - PAN'!$A$3:$AG$23,33,FALSE)-VLOOKUP($A19,'CAPEX - PAN'!$A$3:$AG$21,33,FALSE)</f>
        <v>-1248948.4209</v>
      </c>
      <c r="AH19" s="1">
        <f>VLOOKUP($A19,'RECEITAS - PAN'!$A$3:$AH$23,34,FALSE)-VLOOKUP($A19,'OPEX - PAN'!$A$3:$AH$23,34,FALSE)-VLOOKUP($A19,'CAPEX - PAN'!$A$3:$AH$21,34,FALSE)</f>
        <v>-1248767.9980000001</v>
      </c>
      <c r="AI19" s="1">
        <f>VLOOKUP($A19,'RECEITAS - PAN'!$A$3:$AI$23,35,FALSE)-VLOOKUP($A19,'OPEX - PAN'!$A$3:$AI$23,35,FALSE)-VLOOKUP($A19,'CAPEX - PAN'!$A$3:$AI$21,35,FALSE)</f>
        <v>-1311410.5752000001</v>
      </c>
      <c r="AJ19" s="1">
        <f>VLOOKUP($A19,'RECEITAS - PAN'!$A$3:$AJ$21,36,FALSE)-VLOOKUP($A19,'OPEX - PAN'!$A$3:$AJ$21,36,FALSE)-VLOOKUP($A19,'CAPEX - PAN'!$A$3:$AJ$21,36,FALSE)</f>
        <v>-1248522.6543626986</v>
      </c>
      <c r="AK19" s="1">
        <f>VLOOKUP($A19,'RECEITAS - PAN'!$A$3:$AK$21,37,FALSE)-VLOOKUP($A19,'OPEX - PAN'!$A$3:$AK$21,37,FALSE)-VLOOKUP($A19,'CAPEX - PAN'!$A$3:$AK$21,37,FALSE)</f>
        <v>-1248351.9142756236</v>
      </c>
      <c r="AL19" s="31">
        <f t="shared" ref="AL19:AL21" si="6">SUM(H19:AK19)</f>
        <v>-59715812.926138327</v>
      </c>
      <c r="AM19" s="3">
        <f>VLOOKUP(A19,'BASE PAN - CAPEX'!$A$3:$H$22,8,FALSE)</f>
        <v>0</v>
      </c>
      <c r="AN19" s="1">
        <f t="shared" si="1"/>
        <v>-36699037.5603</v>
      </c>
    </row>
    <row r="20" spans="1:40" s="17" customFormat="1" x14ac:dyDescent="0.25">
      <c r="A20" s="17" t="s">
        <v>317</v>
      </c>
      <c r="B20" s="30" t="str">
        <f>VLOOKUP(A20,'CAPEX - Navegação Aérea'!$A$3:$B$22,2,FALSE)</f>
        <v>COMANDANTE ARISTON PESSOA</v>
      </c>
      <c r="C20" s="17">
        <f>VLOOKUP(A20,'[10]FLUXO DE CAIXA DESC.-BLOCOS PAN'!$A$3:$C$251,3,FALSE)</f>
        <v>230110</v>
      </c>
      <c r="D20" s="17" t="str">
        <f>VLOOKUP(A20,'[10]FLUXO DE CAIXA DESC.-BLOCOS PAN'!$A$3:$D$251,4,FALSE)</f>
        <v>SNAT230110</v>
      </c>
      <c r="E20" s="17" t="s">
        <v>318</v>
      </c>
      <c r="F20" s="17" t="s">
        <v>323</v>
      </c>
      <c r="G20" s="17" t="s">
        <v>28</v>
      </c>
      <c r="H20" s="28">
        <f>VLOOKUP($A20,'RECEITAS - PAN'!$A$3:$H$23,8,FALSE)-VLOOKUP($A20,'OPEX - PAN'!$A$3:$H$23,8,FALSE)-VLOOKUP($A20,'CAPEX - PAN'!$A$3:$H$21,8,FALSE)</f>
        <v>-10779661.07195</v>
      </c>
      <c r="I20" s="28">
        <f>VLOOKUP($A20,'RECEITAS - PAN'!$A$3:$I$23,9,FALSE)-VLOOKUP($A20,'OPEX - PAN'!$A$3:$I$23,9,FALSE)-VLOOKUP($A20,'CAPEX - PAN'!$A$3:$I$21,9,FALSE)</f>
        <v>-10821496.827045549</v>
      </c>
      <c r="J20" s="28">
        <f>VLOOKUP($A20,'RECEITAS - PAN'!$A$3:$J$23,10,FALSE)-VLOOKUP($A20,'OPEX - PAN'!$A$3:$J$23,10,FALSE)-VLOOKUP($A20,'CAPEX - PAN'!$A$3:$J$21,10,FALSE)</f>
        <v>-10744438.486450002</v>
      </c>
      <c r="K20" s="28">
        <f>VLOOKUP($A20,'RECEITAS - PAN'!$A$3:$K$23,11,FALSE)-VLOOKUP($A20,'OPEX - PAN'!$A$3:$K$23,11,FALSE)-VLOOKUP($A20,'CAPEX - PAN'!$A$3:$K$21,11,FALSE)</f>
        <v>-4902544.3002455486</v>
      </c>
      <c r="L20" s="28">
        <f>VLOOKUP($A20,'RECEITAS - PAN'!$A$3:$L$23,12,FALSE)-VLOOKUP($A20,'OPEX - PAN'!$A$3:$L$23,12,FALSE)-VLOOKUP($A20,'CAPEX - PAN'!$A$3:$L$21,12,FALSE)</f>
        <v>-5053069.2231000001</v>
      </c>
      <c r="M20" s="28">
        <f>VLOOKUP($A20,'RECEITAS - PAN'!$A$3:$M$23,13,FALSE)-VLOOKUP($A20,'OPEX - PAN'!$A$3:$M$23,13,FALSE)-VLOOKUP($A20,'CAPEX - PAN'!$A$3:$M$21,13,FALSE)</f>
        <v>-4842609.8842455493</v>
      </c>
      <c r="N20" s="28">
        <f>VLOOKUP($A20,'RECEITAS - PAN'!$A$3:$N$23,14,FALSE)-VLOOKUP($A20,'OPEX - PAN'!$A$3:$N$23,14,FALSE)-VLOOKUP($A20,'CAPEX - PAN'!$A$3:$N$21,14,FALSE)</f>
        <v>-4754192.5508000003</v>
      </c>
      <c r="O20" s="28">
        <f>VLOOKUP($A20,'RECEITAS - PAN'!$A$3:$O$23,15,FALSE)-VLOOKUP($A20,'OPEX - PAN'!$A$3:$O$23,15,FALSE)-VLOOKUP($A20,'CAPEX - PAN'!$A$3:$O$21,15,FALSE)</f>
        <v>-5031945.8698455486</v>
      </c>
      <c r="P20" s="28">
        <f>VLOOKUP($A20,'RECEITAS - PAN'!$A$3:$P$23,16,FALSE)-VLOOKUP($A20,'OPEX - PAN'!$A$3:$P$23,16,FALSE)-VLOOKUP($A20,'CAPEX - PAN'!$A$3:$P$21,16,FALSE)</f>
        <v>-4705548.4624000005</v>
      </c>
      <c r="Q20" s="28">
        <f>VLOOKUP($A20,'RECEITAS - PAN'!$A$3:$Q$23,17,FALSE)-VLOOKUP($A20,'OPEX - PAN'!$A$3:$Q$23,17,FALSE)-VLOOKUP($A20,'CAPEX - PAN'!$A$3:$Q$21,17,FALSE)</f>
        <v>-13038813.233945549</v>
      </c>
      <c r="R20" s="28">
        <f>VLOOKUP($A20,'RECEITAS - PAN'!$A$3:$R$23,18,FALSE)-VLOOKUP($A20,'OPEX - PAN'!$A$3:$R$23,18,FALSE)-VLOOKUP($A20,'CAPEX - PAN'!$A$3:$R$21,18,FALSE)</f>
        <v>-4659224.7175999992</v>
      </c>
      <c r="S20" s="28">
        <f>VLOOKUP($A20,'RECEITAS - PAN'!$A$3:$S$23,19,FALSE)-VLOOKUP($A20,'OPEX - PAN'!$A$3:$S$23,19,FALSE)-VLOOKUP($A20,'CAPEX - PAN'!$A$3:$S$21,19,FALSE)</f>
        <v>-4696672.795045549</v>
      </c>
      <c r="T20" s="28">
        <f>VLOOKUP($A20,'RECEITAS - PAN'!$A$3:$T$23,20,FALSE)-VLOOKUP($A20,'OPEX - PAN'!$A$3:$T$23,20,FALSE)-VLOOKUP($A20,'CAPEX - PAN'!$A$3:$T$21,20,FALSE)</f>
        <v>-4612581.3550000004</v>
      </c>
      <c r="U20" s="28">
        <f>VLOOKUP($A20,'RECEITAS - PAN'!$A$3:$U$23,21,FALSE)-VLOOKUP($A20,'OPEX - PAN'!$A$3:$U$23,21,FALSE)-VLOOKUP($A20,'CAPEX - PAN'!$A$3:$U$21,21,FALSE)</f>
        <v>-4650245.7269455483</v>
      </c>
      <c r="V20" s="28">
        <f>VLOOKUP($A20,'RECEITAS - PAN'!$A$3:$V$23,22,FALSE)-VLOOKUP($A20,'OPEX - PAN'!$A$3:$V$23,22,FALSE)-VLOOKUP($A20,'CAPEX - PAN'!$A$3:$V$21,22,FALSE)</f>
        <v>-12653574.602299999</v>
      </c>
      <c r="W20" s="28">
        <f>VLOOKUP($A20,'RECEITAS - PAN'!$A$3:$W$23,23,FALSE)-VLOOKUP($A20,'OPEX - PAN'!$A$3:$W$23,23,FALSE)-VLOOKUP($A20,'CAPEX - PAN'!$A$3:$W$21,23,FALSE)</f>
        <v>-4602921.6193455486</v>
      </c>
      <c r="X20" s="28">
        <f>VLOOKUP($A20,'RECEITAS - PAN'!$A$3:$X$23,24,FALSE)-VLOOKUP($A20,'OPEX - PAN'!$A$3:$X$23,24,FALSE)-VLOOKUP($A20,'CAPEX - PAN'!$A$3:$X$21,24,FALSE)</f>
        <v>-4517582.6349999998</v>
      </c>
      <c r="Y20" s="28">
        <f>VLOOKUP($A20,'RECEITAS - PAN'!$A$3:$Y$23,25,FALSE)-VLOOKUP($A20,'OPEX - PAN'!$A$3:$Y$23,25,FALSE)-VLOOKUP($A20,'CAPEX - PAN'!$A$3:$Y$21,25,FALSE)</f>
        <v>-4795984.8380455496</v>
      </c>
      <c r="Z20" s="28">
        <f>VLOOKUP($A20,'RECEITAS - PAN'!$A$3:$Z$23,26,FALSE)-VLOOKUP($A20,'OPEX - PAN'!$A$3:$Z$23,26,FALSE)-VLOOKUP($A20,'CAPEX - PAN'!$A$3:$Z$21,26,FALSE)</f>
        <v>-4469068.9067000002</v>
      </c>
      <c r="AA20" s="28">
        <f>VLOOKUP($A20,'RECEITAS - PAN'!$A$3:$AA$23,27,FALSE)-VLOOKUP($A20,'OPEX - PAN'!$A$3:$AA$23,27,FALSE)-VLOOKUP($A20,'CAPEX - PAN'!$A$3:$AA$21,27,FALSE)</f>
        <v>-12801446.286845548</v>
      </c>
      <c r="AB20" s="28">
        <f>VLOOKUP($A20,'RECEITAS - PAN'!$A$3:$AB$23,28,FALSE)-VLOOKUP($A20,'OPEX - PAN'!$A$3:$AB$23,28,FALSE)-VLOOKUP($A20,'CAPEX - PAN'!$A$3:$AB$21,28,FALSE)</f>
        <v>-4420911.4813000001</v>
      </c>
      <c r="AC20" s="28">
        <f>VLOOKUP($A20,'RECEITAS - PAN'!$A$3:$AC$23,29,FALSE)-VLOOKUP($A20,'OPEX - PAN'!$A$3:$AC$23,29,FALSE)-VLOOKUP($A20,'CAPEX - PAN'!$A$3:$AC$21,29,FALSE)</f>
        <v>-4457899.9325455492</v>
      </c>
      <c r="AD20" s="28">
        <f>VLOOKUP($A20,'RECEITAS - PAN'!$A$3:$AD$23,30,FALSE)-VLOOKUP($A20,'OPEX - PAN'!$A$3:$AD$23,30,FALSE)-VLOOKUP($A20,'CAPEX - PAN'!$A$3:$AD$21,30,FALSE)</f>
        <v>-4373213.6820999999</v>
      </c>
      <c r="AE20" s="28">
        <f>VLOOKUP($A20,'RECEITAS - PAN'!$A$3:$AE$23,31,FALSE)-VLOOKUP($A20,'OPEX - PAN'!$A$3:$AE$23,31,FALSE)-VLOOKUP($A20,'CAPEX - PAN'!$A$3:$AE$21,31,FALSE)</f>
        <v>-4410305.4565455494</v>
      </c>
      <c r="AF20" s="28">
        <f>VLOOKUP($A20,'RECEITAS - PAN'!$A$3:$AF$23,32,FALSE)-VLOOKUP($A20,'OPEX - PAN'!$A$3:$AF$23,32,FALSE)-VLOOKUP($A20,'CAPEX - PAN'!$A$3:$AF$21,32,FALSE)</f>
        <v>-4568475.5583999995</v>
      </c>
      <c r="AG20" s="28">
        <f>VLOOKUP($A20,'RECEITAS - PAN'!$A$3:$AG$23,33,FALSE)-VLOOKUP($A20,'OPEX - PAN'!$A$3:$AG$23,33,FALSE)-VLOOKUP($A20,'CAPEX - PAN'!$A$3:$AG$21,33,FALSE)</f>
        <v>-4364256.9041455491</v>
      </c>
      <c r="AH20" s="28">
        <f>VLOOKUP($A20,'RECEITAS - PAN'!$A$3:$AH$23,34,FALSE)-VLOOKUP($A20,'OPEX - PAN'!$A$3:$AH$23,34,FALSE)-VLOOKUP($A20,'CAPEX - PAN'!$A$3:$AH$21,34,FALSE)</f>
        <v>-4279841.0220999997</v>
      </c>
      <c r="AI20" s="28">
        <f>VLOOKUP($A20,'RECEITAS - PAN'!$A$3:$AI$23,35,FALSE)-VLOOKUP($A20,'OPEX - PAN'!$A$3:$AI$23,35,FALSE)-VLOOKUP($A20,'CAPEX - PAN'!$A$3:$AI$21,35,FALSE)</f>
        <v>-4559032.117445549</v>
      </c>
      <c r="AJ20" s="28">
        <f>VLOOKUP($A20,'RECEITAS - PAN'!$A$3:$AJ$21,36,FALSE)-VLOOKUP($A20,'OPEX - PAN'!$A$3:$AJ$21,36,FALSE)-VLOOKUP($A20,'CAPEX - PAN'!$A$3:$AJ$21,36,FALSE)</f>
        <v>-4222754.2779984148</v>
      </c>
      <c r="AK20" s="28">
        <f>VLOOKUP($A20,'RECEITAS - PAN'!$A$3:$AK$21,37,FALSE)-VLOOKUP($A20,'OPEX - PAN'!$A$3:$AK$21,37,FALSE)-VLOOKUP($A20,'CAPEX - PAN'!$A$3:$AK$21,37,FALSE)</f>
        <v>-4261904.6305675469</v>
      </c>
      <c r="AL20" s="31">
        <f t="shared" si="6"/>
        <v>-181052218.45600367</v>
      </c>
      <c r="AM20" s="3">
        <f>VLOOKUP(A20,'BASE PAN - CAPEX'!$A$3:$H$22,8,FALSE)</f>
        <v>3</v>
      </c>
      <c r="AN20" s="28">
        <f t="shared" si="1"/>
        <v>-105946619.10691886</v>
      </c>
    </row>
    <row r="21" spans="1:40" s="17" customFormat="1" x14ac:dyDescent="0.25">
      <c r="A21" s="17" t="s">
        <v>321</v>
      </c>
      <c r="B21" s="30" t="str">
        <f>VLOOKUP(A21,'CAPEX - Navegação Aérea'!$A$3:$B$22,2,FALSE)</f>
        <v>AEROPORTO REGIONAL DE CANOA QUEBRADA DRAGÃO DO MAR</v>
      </c>
      <c r="C21" s="17">
        <f>VLOOKUP(A21,'[10]FLUXO DE CAIXA DESC.-BLOCOS PAN'!$A$3:$C$251,3,FALSE)</f>
        <v>230425</v>
      </c>
      <c r="D21" s="17" t="str">
        <f>VLOOKUP(A21,'[10]FLUXO DE CAIXA DESC.-BLOCOS PAN'!$A$3:$D$251,4,FALSE)</f>
        <v>SBJE230425</v>
      </c>
      <c r="E21" s="17" t="s">
        <v>322</v>
      </c>
      <c r="F21" s="17" t="s">
        <v>323</v>
      </c>
      <c r="G21" s="17" t="s">
        <v>28</v>
      </c>
      <c r="H21" s="28">
        <f>VLOOKUP($A21,'RECEITAS - PAN'!$A$3:$H$23,8,FALSE)-VLOOKUP($A21,'OPEX - PAN'!$A$3:$H$23,8,FALSE)-VLOOKUP($A21,'CAPEX - PAN'!$A$3:$H$21,8,FALSE)</f>
        <v>-39959834.937399998</v>
      </c>
      <c r="I21" s="28">
        <f>VLOOKUP($A21,'RECEITAS - PAN'!$A$3:$I$23,9,FALSE)-VLOOKUP($A21,'OPEX - PAN'!$A$3:$I$23,9,FALSE)-VLOOKUP($A21,'CAPEX - PAN'!$A$3:$I$21,9,FALSE)</f>
        <v>-13253317.409354623</v>
      </c>
      <c r="J21" s="28">
        <f>VLOOKUP($A21,'RECEITAS - PAN'!$A$3:$J$23,10,FALSE)-VLOOKUP($A21,'OPEX - PAN'!$A$3:$J$23,10,FALSE)-VLOOKUP($A21,'CAPEX - PAN'!$A$3:$J$21,10,FALSE)</f>
        <v>-13030649.621300001</v>
      </c>
      <c r="K21" s="28">
        <f>VLOOKUP($A21,'RECEITAS - PAN'!$A$3:$K$23,11,FALSE)-VLOOKUP($A21,'OPEX - PAN'!$A$3:$K$23,11,FALSE)-VLOOKUP($A21,'CAPEX - PAN'!$A$3:$K$21,11,FALSE)</f>
        <v>300355.35989537521</v>
      </c>
      <c r="L21" s="28">
        <f>VLOOKUP($A21,'RECEITAS - PAN'!$A$3:$L$23,12,FALSE)-VLOOKUP($A21,'OPEX - PAN'!$A$3:$L$23,12,FALSE)-VLOOKUP($A21,'CAPEX - PAN'!$A$3:$L$21,12,FALSE)</f>
        <v>305858.67730000091</v>
      </c>
      <c r="M21" s="28">
        <f>VLOOKUP($A21,'RECEITAS - PAN'!$A$3:$M$23,13,FALSE)-VLOOKUP($A21,'OPEX - PAN'!$A$3:$M$23,13,FALSE)-VLOOKUP($A21,'CAPEX - PAN'!$A$3:$M$21,13,FALSE)</f>
        <v>825857.22709537542</v>
      </c>
      <c r="N21" s="28">
        <f>VLOOKUP($A21,'RECEITAS - PAN'!$A$3:$N$23,14,FALSE)-VLOOKUP($A21,'OPEX - PAN'!$A$3:$N$23,14,FALSE)-VLOOKUP($A21,'CAPEX - PAN'!$A$3:$N$21,14,FALSE)</f>
        <v>1128089.2770999996</v>
      </c>
      <c r="O21" s="28">
        <f>VLOOKUP($A21,'RECEITAS - PAN'!$A$3:$O$23,15,FALSE)-VLOOKUP($A21,'OPEX - PAN'!$A$3:$O$23,15,FALSE)-VLOOKUP($A21,'CAPEX - PAN'!$A$3:$O$21,15,FALSE)</f>
        <v>926306.67439537682</v>
      </c>
      <c r="P21" s="28">
        <f>VLOOKUP($A21,'RECEITAS - PAN'!$A$3:$P$23,16,FALSE)-VLOOKUP($A21,'OPEX - PAN'!$A$3:$P$23,16,FALSE)-VLOOKUP($A21,'CAPEX - PAN'!$A$3:$P$21,16,FALSE)</f>
        <v>1519251.3902000003</v>
      </c>
      <c r="Q21" s="28">
        <f>VLOOKUP($A21,'RECEITAS - PAN'!$A$3:$Q$23,17,FALSE)-VLOOKUP($A21,'OPEX - PAN'!$A$3:$Q$23,17,FALSE)-VLOOKUP($A21,'CAPEX - PAN'!$A$3:$Q$21,17,FALSE)</f>
        <v>-11946461.878204621</v>
      </c>
      <c r="R21" s="28">
        <f>VLOOKUP($A21,'RECEITAS - PAN'!$A$3:$R$23,18,FALSE)-VLOOKUP($A21,'OPEX - PAN'!$A$3:$R$23,18,FALSE)-VLOOKUP($A21,'CAPEX - PAN'!$A$3:$R$21,18,FALSE)</f>
        <v>1878783.1289000008</v>
      </c>
      <c r="S21" s="28">
        <f>VLOOKUP($A21,'RECEITAS - PAN'!$A$3:$S$23,19,FALSE)-VLOOKUP($A21,'OPEX - PAN'!$A$3:$S$23,19,FALSE)-VLOOKUP($A21,'CAPEX - PAN'!$A$3:$S$21,19,FALSE)</f>
        <v>1988255.0416953764</v>
      </c>
      <c r="T21" s="28">
        <f>VLOOKUP($A21,'RECEITAS - PAN'!$A$3:$T$23,20,FALSE)-VLOOKUP($A21,'OPEX - PAN'!$A$3:$T$23,20,FALSE)-VLOOKUP($A21,'CAPEX - PAN'!$A$3:$T$21,20,FALSE)</f>
        <v>2233142.9463999998</v>
      </c>
      <c r="U21" s="28">
        <f>VLOOKUP($A21,'RECEITAS - PAN'!$A$3:$U$23,21,FALSE)-VLOOKUP($A21,'OPEX - PAN'!$A$3:$U$23,21,FALSE)-VLOOKUP($A21,'CAPEX - PAN'!$A$3:$U$21,21,FALSE)</f>
        <v>2337546.610995376</v>
      </c>
      <c r="V21" s="28">
        <f>VLOOKUP($A21,'RECEITAS - PAN'!$A$3:$V$23,22,FALSE)-VLOOKUP($A21,'OPEX - PAN'!$A$3:$V$23,22,FALSE)-VLOOKUP($A21,'CAPEX - PAN'!$A$3:$V$21,22,FALSE)</f>
        <v>-15141071.496400001</v>
      </c>
      <c r="W21" s="28">
        <f>VLOOKUP($A21,'RECEITAS - PAN'!$A$3:$W$23,23,FALSE)-VLOOKUP($A21,'OPEX - PAN'!$A$3:$W$23,23,FALSE)-VLOOKUP($A21,'CAPEX - PAN'!$A$3:$W$21,23,FALSE)</f>
        <v>2684929.5739953755</v>
      </c>
      <c r="X21" s="28">
        <f>VLOOKUP($A21,'RECEITAS - PAN'!$A$3:$X$23,24,FALSE)-VLOOKUP($A21,'OPEX - PAN'!$A$3:$X$23,24,FALSE)-VLOOKUP($A21,'CAPEX - PAN'!$A$3:$X$21,24,FALSE)</f>
        <v>2932330.5905000009</v>
      </c>
      <c r="Y21" s="28">
        <f>VLOOKUP($A21,'RECEITAS - PAN'!$A$3:$Y$23,25,FALSE)-VLOOKUP($A21,'OPEX - PAN'!$A$3:$Y$23,25,FALSE)-VLOOKUP($A21,'CAPEX - PAN'!$A$3:$Y$21,25,FALSE)</f>
        <v>2700657.0232953755</v>
      </c>
      <c r="Z21" s="28">
        <f>VLOOKUP($A21,'RECEITAS - PAN'!$A$3:$Z$23,26,FALSE)-VLOOKUP($A21,'OPEX - PAN'!$A$3:$Z$23,26,FALSE)-VLOOKUP($A21,'CAPEX - PAN'!$A$3:$Z$21,26,FALSE)</f>
        <v>3275108.4066000003</v>
      </c>
      <c r="AA21" s="28">
        <f>VLOOKUP($A21,'RECEITAS - PAN'!$A$3:$AA$23,27,FALSE)-VLOOKUP($A21,'OPEX - PAN'!$A$3:$AA$23,27,FALSE)-VLOOKUP($A21,'CAPEX - PAN'!$A$3:$AA$21,27,FALSE)</f>
        <v>-10205366.421304623</v>
      </c>
      <c r="AB21" s="28">
        <f>VLOOKUP($A21,'RECEITAS - PAN'!$A$3:$AB$23,28,FALSE)-VLOOKUP($A21,'OPEX - PAN'!$A$3:$AB$23,28,FALSE)-VLOOKUP($A21,'CAPEX - PAN'!$A$3:$AB$21,28,FALSE)</f>
        <v>3603604.6267000008</v>
      </c>
      <c r="AC21" s="28">
        <f>VLOOKUP($A21,'RECEITAS - PAN'!$A$3:$AC$23,29,FALSE)-VLOOKUP($A21,'OPEX - PAN'!$A$3:$AC$23,29,FALSE)-VLOOKUP($A21,'CAPEX - PAN'!$A$3:$AC$21,29,FALSE)</f>
        <v>3683999.5576953753</v>
      </c>
      <c r="AD21" s="28">
        <f>VLOOKUP($A21,'RECEITAS - PAN'!$A$3:$AD$23,30,FALSE)-VLOOKUP($A21,'OPEX - PAN'!$A$3:$AD$23,30,FALSE)-VLOOKUP($A21,'CAPEX - PAN'!$A$3:$AD$21,30,FALSE)</f>
        <v>3899175.6305999998</v>
      </c>
      <c r="AE21" s="28">
        <f>VLOOKUP($A21,'RECEITAS - PAN'!$A$3:$AE$23,31,FALSE)-VLOOKUP($A21,'OPEX - PAN'!$A$3:$AE$23,31,FALSE)-VLOOKUP($A21,'CAPEX - PAN'!$A$3:$AE$21,31,FALSE)</f>
        <v>3969849.1803953755</v>
      </c>
      <c r="AF21" s="28">
        <f>VLOOKUP($A21,'RECEITAS - PAN'!$A$3:$AF$23,32,FALSE)-VLOOKUP($A21,'OPEX - PAN'!$A$3:$AF$23,32,FALSE)-VLOOKUP($A21,'CAPEX - PAN'!$A$3:$AF$21,32,FALSE)</f>
        <v>3834371.984900001</v>
      </c>
      <c r="AG21" s="28">
        <f>VLOOKUP($A21,'RECEITAS - PAN'!$A$3:$AG$23,33,FALSE)-VLOOKUP($A21,'OPEX - PAN'!$A$3:$AG$23,33,FALSE)-VLOOKUP($A21,'CAPEX - PAN'!$A$3:$AG$21,33,FALSE)</f>
        <v>4226465.8412953764</v>
      </c>
      <c r="AH21" s="28">
        <f>VLOOKUP($A21,'RECEITAS - PAN'!$A$3:$AH$23,34,FALSE)-VLOOKUP($A21,'OPEX - PAN'!$A$3:$AH$23,34,FALSE)-VLOOKUP($A21,'CAPEX - PAN'!$A$3:$AH$21,34,FALSE)</f>
        <v>4427298.3374999985</v>
      </c>
      <c r="AI21" s="28">
        <f>VLOOKUP($A21,'RECEITAS - PAN'!$A$3:$AI$23,35,FALSE)-VLOOKUP($A21,'OPEX - PAN'!$A$3:$AI$23,35,FALSE)-VLOOKUP($A21,'CAPEX - PAN'!$A$3:$AI$21,35,FALSE)</f>
        <v>4149798.0892953752</v>
      </c>
      <c r="AJ21" s="28">
        <f>VLOOKUP($A21,'RECEITAS - PAN'!$A$3:$AJ$21,36,FALSE)-VLOOKUP($A21,'OPEX - PAN'!$A$3:$AJ$21,36,FALSE)-VLOOKUP($A21,'CAPEX - PAN'!$A$3:$AJ$21,36,FALSE)</f>
        <v>5020147.0931476355</v>
      </c>
      <c r="AK21" s="28">
        <f>VLOOKUP($A21,'RECEITAS - PAN'!$A$3:$AK$21,37,FALSE)-VLOOKUP($A21,'OPEX - PAN'!$A$3:$AK$21,37,FALSE)-VLOOKUP($A21,'CAPEX - PAN'!$A$3:$AK$21,37,FALSE)</f>
        <v>5088203.4190363139</v>
      </c>
      <c r="AL21" s="31">
        <f t="shared" si="6"/>
        <v>-36597316.075030804</v>
      </c>
      <c r="AM21" s="3">
        <f>VLOOKUP(A21,'BASE PAN - CAPEX'!$A$3:$H$22,8,FALSE)</f>
        <v>4</v>
      </c>
      <c r="AN21" s="28">
        <f t="shared" si="1"/>
        <v>-79887889.00868237</v>
      </c>
    </row>
    <row r="22" spans="1:40" x14ac:dyDescent="0.25">
      <c r="G22" s="15" t="s">
        <v>121</v>
      </c>
      <c r="H22" s="27">
        <f t="shared" ref="H22:AK22" si="7">SUBTOTAL(109,H3:H21)</f>
        <v>-390154313.91485006</v>
      </c>
      <c r="I22" s="27">
        <f t="shared" si="7"/>
        <v>-298413970.28591186</v>
      </c>
      <c r="J22" s="27">
        <f t="shared" si="7"/>
        <v>-296930268.55969995</v>
      </c>
      <c r="K22" s="27">
        <f t="shared" si="7"/>
        <v>-37172429.845611781</v>
      </c>
      <c r="L22" s="27">
        <f t="shared" si="7"/>
        <v>-38874695.69600001</v>
      </c>
      <c r="M22" s="27">
        <f t="shared" si="7"/>
        <v>-35242026.167611778</v>
      </c>
      <c r="N22" s="27">
        <f t="shared" si="7"/>
        <v>-33405510.898200002</v>
      </c>
      <c r="O22" s="27">
        <f t="shared" si="7"/>
        <v>-37134519.454011783</v>
      </c>
      <c r="P22" s="27">
        <f t="shared" si="7"/>
        <v>-31822466.362399995</v>
      </c>
      <c r="Q22" s="27">
        <f t="shared" si="7"/>
        <v>-187433421.11141178</v>
      </c>
      <c r="R22" s="27">
        <f t="shared" si="7"/>
        <v>-30312140.763999999</v>
      </c>
      <c r="S22" s="27">
        <f t="shared" si="7"/>
        <v>-30454349.992511783</v>
      </c>
      <c r="T22" s="27">
        <f t="shared" si="7"/>
        <v>-28780904.913700007</v>
      </c>
      <c r="U22" s="27">
        <f t="shared" si="7"/>
        <v>-28959996.821811792</v>
      </c>
      <c r="V22" s="27">
        <f t="shared" si="7"/>
        <v>-146073729.28979999</v>
      </c>
      <c r="W22" s="27">
        <f t="shared" si="7"/>
        <v>-27411379.811811782</v>
      </c>
      <c r="X22" s="27">
        <f t="shared" si="7"/>
        <v>-25681085.797199998</v>
      </c>
      <c r="Y22" s="27">
        <f t="shared" si="7"/>
        <v>-29453908.751211781</v>
      </c>
      <c r="Z22" s="27">
        <f t="shared" si="7"/>
        <v>-24099507.552499995</v>
      </c>
      <c r="AA22" s="27">
        <f t="shared" si="7"/>
        <v>-179709707.31621173</v>
      </c>
      <c r="AB22" s="27">
        <f t="shared" si="7"/>
        <v>-22525748.874899998</v>
      </c>
      <c r="AC22" s="27">
        <f t="shared" si="7"/>
        <v>-22729409.101511784</v>
      </c>
      <c r="AD22" s="27">
        <f t="shared" si="7"/>
        <v>-21046345.615900002</v>
      </c>
      <c r="AE22" s="27">
        <f t="shared" si="7"/>
        <v>-21255385.355811782</v>
      </c>
      <c r="AF22" s="27">
        <f t="shared" si="7"/>
        <v>-23231337.912300002</v>
      </c>
      <c r="AG22" s="27">
        <f t="shared" si="7"/>
        <v>-19836101.594611783</v>
      </c>
      <c r="AH22" s="27">
        <f t="shared" si="7"/>
        <v>-18181207.289099991</v>
      </c>
      <c r="AI22" s="27">
        <f t="shared" si="7"/>
        <v>-22020419.905411776</v>
      </c>
      <c r="AJ22" s="27">
        <f t="shared" si="7"/>
        <v>-16203058.364954758</v>
      </c>
      <c r="AK22" s="27">
        <f t="shared" si="7"/>
        <v>-16451410.797140196</v>
      </c>
      <c r="AL22" s="27">
        <f>SUBTOTAL(109,AL3:AL21)</f>
        <v>-2141000758.1181099</v>
      </c>
      <c r="AM22" s="3"/>
      <c r="AN22" s="27">
        <f>SUBTOTAL(109,AN3:AN21)</f>
        <v>-1651164744.0775328</v>
      </c>
    </row>
    <row r="23" spans="1:40" x14ac:dyDescent="0.25">
      <c r="G23" s="15" t="s">
        <v>160</v>
      </c>
      <c r="H23" s="27">
        <f>H22</f>
        <v>-390154313.91485006</v>
      </c>
      <c r="I23" s="27">
        <f>H23+I22</f>
        <v>-688568284.20076191</v>
      </c>
      <c r="J23" s="27">
        <f t="shared" ref="J23:AK23" si="8">I23+J22</f>
        <v>-985498552.76046181</v>
      </c>
      <c r="K23" s="27">
        <f t="shared" si="8"/>
        <v>-1022670982.6060736</v>
      </c>
      <c r="L23" s="27">
        <f t="shared" si="8"/>
        <v>-1061545678.3020736</v>
      </c>
      <c r="M23" s="27">
        <f t="shared" si="8"/>
        <v>-1096787704.4696853</v>
      </c>
      <c r="N23" s="27">
        <f t="shared" si="8"/>
        <v>-1130193215.3678854</v>
      </c>
      <c r="O23" s="27">
        <f t="shared" si="8"/>
        <v>-1167327734.821897</v>
      </c>
      <c r="P23" s="27">
        <f t="shared" si="8"/>
        <v>-1199150201.1842971</v>
      </c>
      <c r="Q23" s="27">
        <f t="shared" si="8"/>
        <v>-1386583622.2957089</v>
      </c>
      <c r="R23" s="27">
        <f t="shared" si="8"/>
        <v>-1416895763.0597088</v>
      </c>
      <c r="S23" s="27">
        <f t="shared" si="8"/>
        <v>-1447350113.0522206</v>
      </c>
      <c r="T23" s="27">
        <f t="shared" si="8"/>
        <v>-1476131017.9659207</v>
      </c>
      <c r="U23" s="27">
        <f t="shared" si="8"/>
        <v>-1505091014.7877324</v>
      </c>
      <c r="V23" s="27">
        <f t="shared" si="8"/>
        <v>-1651164744.0775323</v>
      </c>
      <c r="W23" s="27">
        <f t="shared" si="8"/>
        <v>-1678576123.889344</v>
      </c>
      <c r="X23" s="27">
        <f t="shared" si="8"/>
        <v>-1704257209.6865439</v>
      </c>
      <c r="Y23" s="27">
        <f t="shared" si="8"/>
        <v>-1733711118.4377558</v>
      </c>
      <c r="Z23" s="27">
        <f t="shared" si="8"/>
        <v>-1757810625.9902558</v>
      </c>
      <c r="AA23" s="27">
        <f t="shared" si="8"/>
        <v>-1937520333.3064675</v>
      </c>
      <c r="AB23" s="27">
        <f t="shared" si="8"/>
        <v>-1960046082.1813676</v>
      </c>
      <c r="AC23" s="27">
        <f t="shared" si="8"/>
        <v>-1982775491.2828794</v>
      </c>
      <c r="AD23" s="27">
        <f t="shared" si="8"/>
        <v>-2003821836.8987794</v>
      </c>
      <c r="AE23" s="27">
        <f t="shared" si="8"/>
        <v>-2025077222.2545912</v>
      </c>
      <c r="AF23" s="27">
        <f t="shared" si="8"/>
        <v>-2048308560.1668913</v>
      </c>
      <c r="AG23" s="27">
        <f t="shared" si="8"/>
        <v>-2068144661.7615032</v>
      </c>
      <c r="AH23" s="27">
        <f t="shared" si="8"/>
        <v>-2086325869.0506032</v>
      </c>
      <c r="AI23" s="27">
        <f t="shared" si="8"/>
        <v>-2108346288.9560149</v>
      </c>
      <c r="AJ23" s="27">
        <f t="shared" si="8"/>
        <v>-2124549347.3209696</v>
      </c>
      <c r="AK23" s="27">
        <f t="shared" si="8"/>
        <v>-2141000758.1181097</v>
      </c>
    </row>
    <row r="28" spans="1:40" x14ac:dyDescent="0.25">
      <c r="A28" s="23" t="s">
        <v>146</v>
      </c>
    </row>
  </sheetData>
  <autoFilter ref="A2:AL23" xr:uid="{7465DE03-B81E-45D9-A69D-479AC3B51F78}"/>
  <conditionalFormatting sqref="D3:D16">
    <cfRule type="duplicateValues" dxfId="10" priority="397"/>
  </conditionalFormatting>
  <hyperlinks>
    <hyperlink ref="A28" location="Introdução!A1" display="Introdução!A1" xr:uid="{BF77D40E-CDF2-42C4-B4DC-69F1057116E0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BE7C-2F55-4043-9511-07FECB92F799}">
  <sheetPr codeName="Planilha6">
    <tabColor rgb="FF7030A0"/>
  </sheetPr>
  <dimension ref="A1:AT29"/>
  <sheetViews>
    <sheetView topLeftCell="AF1" workbookViewId="0">
      <selection activeCell="AR3" sqref="AR3:AR21"/>
    </sheetView>
  </sheetViews>
  <sheetFormatPr defaultRowHeight="15" x14ac:dyDescent="0.25"/>
  <cols>
    <col min="1" max="1" width="7" bestFit="1" customWidth="1"/>
    <col min="2" max="2" width="25.7109375" customWidth="1"/>
    <col min="3" max="3" width="7.42578125" bestFit="1" customWidth="1"/>
    <col min="4" max="4" width="13.140625" bestFit="1" customWidth="1"/>
    <col min="5" max="5" width="20.85546875" customWidth="1"/>
    <col min="6" max="6" width="3.85546875" bestFit="1" customWidth="1"/>
    <col min="7" max="7" width="7.140625" bestFit="1" customWidth="1"/>
    <col min="8" max="8" width="6.28515625" customWidth="1"/>
    <col min="9" max="12" width="19.42578125" bestFit="1" customWidth="1"/>
    <col min="13" max="38" width="20.42578125" bestFit="1" customWidth="1"/>
    <col min="39" max="39" width="20.7109375" bestFit="1" customWidth="1"/>
    <col min="40" max="40" width="14.85546875" bestFit="1" customWidth="1"/>
    <col min="41" max="42" width="12.7109375" bestFit="1" customWidth="1"/>
    <col min="43" max="43" width="12.7109375" customWidth="1"/>
    <col min="44" max="44" width="11.42578125" bestFit="1" customWidth="1"/>
    <col min="45" max="45" width="23.28515625" bestFit="1" customWidth="1"/>
    <col min="46" max="46" width="18" bestFit="1" customWidth="1"/>
  </cols>
  <sheetData>
    <row r="1" spans="1:46" x14ac:dyDescent="0.25">
      <c r="A1" s="11" t="s">
        <v>0</v>
      </c>
      <c r="B1" s="11" t="s">
        <v>92</v>
      </c>
      <c r="C1" s="11" t="s">
        <v>93</v>
      </c>
      <c r="D1" s="11" t="s">
        <v>2</v>
      </c>
      <c r="E1" s="11" t="s">
        <v>3</v>
      </c>
      <c r="F1" s="11" t="s">
        <v>4</v>
      </c>
      <c r="G1" s="11" t="s">
        <v>133</v>
      </c>
      <c r="H1" s="13" t="s">
        <v>94</v>
      </c>
      <c r="I1" s="13" t="s">
        <v>147</v>
      </c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 t="s">
        <v>119</v>
      </c>
      <c r="AO1" s="11" t="s">
        <v>134</v>
      </c>
      <c r="AP1" s="11" t="s">
        <v>135</v>
      </c>
      <c r="AQ1" s="11" t="s">
        <v>138</v>
      </c>
      <c r="AR1" s="11" t="s">
        <v>355</v>
      </c>
      <c r="AS1" s="11" t="s">
        <v>296</v>
      </c>
      <c r="AT1" s="2" t="s">
        <v>295</v>
      </c>
    </row>
    <row r="2" spans="1:46" s="3" customFormat="1" x14ac:dyDescent="0.25">
      <c r="A2" s="18" t="s">
        <v>0</v>
      </c>
      <c r="B2" s="18" t="s">
        <v>92</v>
      </c>
      <c r="C2" s="18" t="s">
        <v>93</v>
      </c>
      <c r="D2" s="18" t="s">
        <v>2</v>
      </c>
      <c r="E2" s="18" t="s">
        <v>3</v>
      </c>
      <c r="F2" s="18" t="s">
        <v>4</v>
      </c>
      <c r="G2" s="18" t="s">
        <v>133</v>
      </c>
      <c r="H2" s="19" t="s">
        <v>94</v>
      </c>
      <c r="I2" s="11">
        <v>1</v>
      </c>
      <c r="J2" s="11">
        <v>2</v>
      </c>
      <c r="K2" s="11">
        <v>3</v>
      </c>
      <c r="L2" s="11">
        <v>4</v>
      </c>
      <c r="M2" s="11">
        <v>5</v>
      </c>
      <c r="N2" s="11">
        <v>6</v>
      </c>
      <c r="O2" s="11">
        <v>7</v>
      </c>
      <c r="P2" s="11">
        <v>8</v>
      </c>
      <c r="Q2" s="11">
        <v>9</v>
      </c>
      <c r="R2" s="11">
        <v>10</v>
      </c>
      <c r="S2" s="11">
        <v>11</v>
      </c>
      <c r="T2" s="11">
        <v>12</v>
      </c>
      <c r="U2" s="11">
        <v>13</v>
      </c>
      <c r="V2" s="11">
        <v>14</v>
      </c>
      <c r="W2" s="11">
        <v>15</v>
      </c>
      <c r="X2" s="11">
        <v>16</v>
      </c>
      <c r="Y2" s="11">
        <v>17</v>
      </c>
      <c r="Z2" s="11">
        <v>18</v>
      </c>
      <c r="AA2" s="11">
        <v>19</v>
      </c>
      <c r="AB2" s="11">
        <v>20</v>
      </c>
      <c r="AC2" s="11">
        <v>21</v>
      </c>
      <c r="AD2" s="11">
        <v>22</v>
      </c>
      <c r="AE2" s="11">
        <v>23</v>
      </c>
      <c r="AF2" s="11">
        <v>24</v>
      </c>
      <c r="AG2" s="11">
        <v>25</v>
      </c>
      <c r="AH2" s="11">
        <v>26</v>
      </c>
      <c r="AI2" s="11">
        <v>27</v>
      </c>
      <c r="AJ2" s="11">
        <v>28</v>
      </c>
      <c r="AK2" s="11">
        <v>29</v>
      </c>
      <c r="AL2" s="11">
        <v>30</v>
      </c>
      <c r="AM2" s="11" t="s">
        <v>121</v>
      </c>
      <c r="AN2" s="18" t="s">
        <v>119</v>
      </c>
      <c r="AO2" s="18" t="s">
        <v>134</v>
      </c>
      <c r="AP2" s="18" t="s">
        <v>135</v>
      </c>
      <c r="AQ2" s="18" t="s">
        <v>138</v>
      </c>
      <c r="AR2" s="18" t="s">
        <v>355</v>
      </c>
      <c r="AS2" s="18" t="s">
        <v>296</v>
      </c>
      <c r="AT2" s="18" t="s">
        <v>295</v>
      </c>
    </row>
    <row r="3" spans="1:46" x14ac:dyDescent="0.25">
      <c r="A3" t="s">
        <v>36</v>
      </c>
      <c r="B3" t="s">
        <v>37</v>
      </c>
      <c r="C3">
        <v>150360</v>
      </c>
      <c r="D3" t="s">
        <v>38</v>
      </c>
      <c r="E3" t="s">
        <v>37</v>
      </c>
      <c r="F3" t="s">
        <v>24</v>
      </c>
      <c r="G3" t="s">
        <v>127</v>
      </c>
      <c r="H3" t="s">
        <v>28</v>
      </c>
      <c r="I3" s="1">
        <f>('RECEITAS - PAN'!H3-'OPEX - PAN'!H3-VLOOKUP('FLUXO DE CAIXA NOM.-S MULT. PAN'!$A3,'CAPEX - PAN S- MULT.'!$A$3:$H$21,8,FALSE))</f>
        <v>-20505341.264816664</v>
      </c>
      <c r="J3" s="1">
        <f>('RECEITAS - PAN'!I3-'OPEX - PAN'!I3-VLOOKUP('FLUXO DE CAIXA NOM.-S MULT. PAN'!$A3,'CAPEX - PAN S- MULT.'!$A$3:$I$21,9,FALSE))</f>
        <v>-19694564.269677766</v>
      </c>
      <c r="K3" s="1">
        <f>('RECEITAS - PAN'!J3-'OPEX - PAN'!J3-VLOOKUP('FLUXO DE CAIXA NOM.-S MULT. PAN'!$A3,'CAPEX - PAN S- MULT.'!$A$3:$J$21,10,FALSE))</f>
        <v>-19581691.064066667</v>
      </c>
      <c r="L3" s="1">
        <f>('RECEITAS - PAN'!K3-'OPEX - PAN'!K3-VLOOKUP('FLUXO DE CAIXA NOM.-S MULT. PAN'!$A3,'CAPEX - PAN S- MULT.'!$A$3:$K$21,11,FALSE))</f>
        <v>-3846226.5012610988</v>
      </c>
      <c r="M3" s="1">
        <f>('RECEITAS - PAN'!L3-'OPEX - PAN'!L3-VLOOKUP('FLUXO DE CAIXA NOM.-S MULT. PAN'!$A3,'CAPEX - PAN S- MULT.'!$A$3:$L$21,12,FALSE))</f>
        <v>-3924526.5866</v>
      </c>
      <c r="N3" s="1">
        <f>('RECEITAS - PAN'!M3-'OPEX - PAN'!M3-VLOOKUP('FLUXO DE CAIXA NOM.-S MULT. PAN'!$A3,'CAPEX - PAN S- MULT.'!$A$3:$M$21,13,FALSE))</f>
        <v>-3775104.740761098</v>
      </c>
      <c r="O3" s="1">
        <f>('RECEITAS - PAN'!N3-'OPEX - PAN'!N3-VLOOKUP('FLUXO DE CAIXA NOM.-S MULT. PAN'!$A3,'CAPEX - PAN S- MULT.'!$A$3:$N$21,14,FALSE))</f>
        <v>-3652558.5057000001</v>
      </c>
      <c r="P3" s="1">
        <f>('RECEITAS - PAN'!O3-'OPEX - PAN'!O3-VLOOKUP('FLUXO DE CAIXA NOM.-S MULT. PAN'!$A3,'CAPEX - PAN S- MULT.'!$A$3:$O$21,15,FALSE))</f>
        <v>-3922788.156061098</v>
      </c>
      <c r="Q3" s="1">
        <f>('RECEITAS - PAN'!P3-'OPEX - PAN'!P3-VLOOKUP('FLUXO DE CAIXA NOM.-S MULT. PAN'!$A3,'CAPEX - PAN S- MULT.'!$A$3:$P$21,16,FALSE))</f>
        <v>-3599219.7838000003</v>
      </c>
      <c r="R3" s="1">
        <f>('RECEITAS - PAN'!Q3-'OPEX - PAN'!Q3-VLOOKUP('FLUXO DE CAIXA NOM.-S MULT. PAN'!$A3,'CAPEX - PAN S- MULT.'!$A$3:$Q$21,17,FALSE))</f>
        <v>-11229235.559161097</v>
      </c>
      <c r="S3" s="1">
        <f>('RECEITAS - PAN'!R3-'OPEX - PAN'!R3-VLOOKUP('FLUXO DE CAIXA NOM.-S MULT. PAN'!$A3,'CAPEX - PAN S- MULT.'!$A$3:$R$21,18,FALSE))</f>
        <v>-3550025.8385999994</v>
      </c>
      <c r="T3" s="1">
        <f>('RECEITAS - PAN'!S3-'OPEX - PAN'!S3-VLOOKUP('FLUXO DE CAIXA NOM.-S MULT. PAN'!$A3,'CAPEX - PAN S- MULT.'!$A$3:$S$21,19,FALSE))</f>
        <v>-3616532.7122610984</v>
      </c>
      <c r="U3" s="1">
        <f>('RECEITAS - PAN'!T3-'OPEX - PAN'!T3-VLOOKUP('FLUXO DE CAIXA NOM.-S MULT. PAN'!$A3,'CAPEX - PAN S- MULT.'!$A$3:$T$21,20,FALSE))</f>
        <v>-3501062.9622</v>
      </c>
      <c r="V3" s="1">
        <f>('RECEITAS - PAN'!U3-'OPEX - PAN'!U3-VLOOKUP('FLUXO DE CAIXA NOM.-S MULT. PAN'!$A3,'CAPEX - PAN S- MULT.'!$A$3:$U$21,21,FALSE))</f>
        <v>-3568320.8097610986</v>
      </c>
      <c r="W3" s="1">
        <f>('RECEITAS - PAN'!V3-'OPEX - PAN'!V3-VLOOKUP('FLUXO DE CAIXA NOM.-S MULT. PAN'!$A3,'CAPEX - PAN S- MULT.'!$A$3:$V$21,22,FALSE))</f>
        <v>-8827188.1970000006</v>
      </c>
      <c r="X3" s="1">
        <f>('RECEITAS - PAN'!W3-'OPEX - PAN'!W3-VLOOKUP('FLUXO DE CAIXA NOM.-S MULT. PAN'!$A3,'CAPEX - PAN S- MULT.'!$A$3:$W$21,23,FALSE))</f>
        <v>-3519762.3039610982</v>
      </c>
      <c r="Y3" s="1">
        <f>('RECEITAS - PAN'!X3-'OPEX - PAN'!X3-VLOOKUP('FLUXO DE CAIXA NOM.-S MULT. PAN'!$A3,'CAPEX - PAN S- MULT.'!$A$3:$X$21,24,FALSE))</f>
        <v>-3403536.4264000002</v>
      </c>
      <c r="Z3" s="1">
        <f>('RECEITAS - PAN'!Y3-'OPEX - PAN'!Y3-VLOOKUP('FLUXO DE CAIXA NOM.-S MULT. PAN'!$A3,'CAPEX - PAN S- MULT.'!$A$3:$Y$21,25,FALSE))</f>
        <v>-3676763.3008610988</v>
      </c>
      <c r="AA3" s="1">
        <f>('RECEITAS - PAN'!Z3-'OPEX - PAN'!Z3-VLOOKUP('FLUXO DE CAIXA NOM.-S MULT. PAN'!$A3,'CAPEX - PAN S- MULT.'!$A$3:$Z$21,26,FALSE))</f>
        <v>-3354833.5025999998</v>
      </c>
      <c r="AB3" s="1">
        <f>('RECEITAS - PAN'!AA3-'OPEX - PAN'!AA3-VLOOKUP('FLUXO DE CAIXA NOM.-S MULT. PAN'!$A3,'CAPEX - PAN S- MULT.'!$A$3:$AA$21,27,FALSE))</f>
        <v>-10985802.437061097</v>
      </c>
      <c r="AC3" s="1">
        <f>('RECEITAS - PAN'!AB3-'OPEX - PAN'!AB3-VLOOKUP('FLUXO DE CAIXA NOM.-S MULT. PAN'!$A3,'CAPEX - PAN S- MULT.'!$A$3:$AB$21,28,FALSE))</f>
        <v>-3307632.5265999995</v>
      </c>
      <c r="AD3" s="1">
        <f>('RECEITAS - PAN'!AC3-'OPEX - PAN'!AC3-VLOOKUP('FLUXO DE CAIXA NOM.-S MULT. PAN'!$A3,'CAPEX - PAN S- MULT.'!$A$3:$AC$21,29,FALSE))</f>
        <v>-3376727.0203610985</v>
      </c>
      <c r="AE3" s="1">
        <f>('RECEITAS - PAN'!AD3-'OPEX - PAN'!AD3-VLOOKUP('FLUXO DE CAIXA NOM.-S MULT. PAN'!$A3,'CAPEX - PAN S- MULT.'!$A$3:$AD$21,30,FALSE))</f>
        <v>-3263549.2643999998</v>
      </c>
      <c r="AF3" s="1">
        <f>('RECEITAS - PAN'!AE3-'OPEX - PAN'!AE3-VLOOKUP('FLUXO DE CAIXA NOM.-S MULT. PAN'!$A3,'CAPEX - PAN S- MULT.'!$A$3:$AE$21,31,FALSE))</f>
        <v>-3333579.9388610981</v>
      </c>
      <c r="AG3" s="1">
        <f>('RECEITAS - PAN'!AF3-'OPEX - PAN'!AF3-VLOOKUP('FLUXO DE CAIXA NOM.-S MULT. PAN'!$A3,'CAPEX - PAN S- MULT.'!$A$3:$AF$21,32,FALSE))</f>
        <v>-3428724.3236999996</v>
      </c>
      <c r="AH3" s="1">
        <f>('RECEITAS - PAN'!AG3-'OPEX - PAN'!AG3-VLOOKUP('FLUXO DE CAIXA NOM.-S MULT. PAN'!$A3,'CAPEX - PAN S- MULT.'!$A$3:$AG$21,33,FALSE))</f>
        <v>-3293749.4374610982</v>
      </c>
      <c r="AI3" s="1">
        <f>('RECEITAS - PAN'!AH3-'OPEX - PAN'!AH3-VLOOKUP('FLUXO DE CAIXA NOM.-S MULT. PAN'!$A3,'CAPEX - PAN S- MULT.'!$A$3:$AH$21,34,FALSE))</f>
        <v>-3181913.8690000004</v>
      </c>
      <c r="AJ3" s="1">
        <f>('RECEITAS - PAN'!AI3-'OPEX - PAN'!AI3-VLOOKUP('FLUXO DE CAIXA NOM.-S MULT. PAN'!$A3,'CAPEX - PAN S- MULT.'!$A$3:$AI$21,35,FALSE))</f>
        <v>-3459386.6345610982</v>
      </c>
      <c r="AK3" s="1">
        <f>VLOOKUP($A3,'RECEITAS - PAN'!$A$3:$AJ$21,36,FALSE)-VLOOKUP($A3,'OPEX - PAN'!$A$3:$AJ$21,36,FALSE)-VLOOKUP('FLUXO DE CAIXA NOM.-S MULT. PAN'!$A3,'CAPEX - PAN S- MULT.'!$A$3:$AJ$21,36,FALSE)</f>
        <v>-3105599.3553365106</v>
      </c>
      <c r="AL3" s="1">
        <f>VLOOKUP($A3,'RECEITAS - PAN'!$A$3:$AK$21,37,FALSE)-VLOOKUP($A3,'OPEX - PAN'!$A$3:$AK$21,37,FALSE)-VLOOKUP('FLUXO DE CAIXA NOM.-S MULT. PAN'!$A3,'CAPEX - PAN S- MULT.'!$A$3:$AK$21,37,FALSE)</f>
        <v>-3177296.2546353615</v>
      </c>
      <c r="AM3" s="12">
        <f t="shared" ref="AM3:AM21" si="0">SUM(I3:AL3)</f>
        <v>-174663243.54752728</v>
      </c>
      <c r="AN3">
        <v>1</v>
      </c>
      <c r="AO3">
        <v>-4.2333333333333334</v>
      </c>
      <c r="AP3">
        <v>-56</v>
      </c>
      <c r="AQ3" s="16">
        <f>VLOOKUP(A3,'Projeção - Demanda PAX'!$A$3:E$22,5,FALSE)</f>
        <v>27199</v>
      </c>
      <c r="AR3" s="16">
        <f>VLOOKUP(A3,'Projeção - Demanda PAX'!$A$3:$AG$22,33,FALSE)</f>
        <v>55806</v>
      </c>
      <c r="AS3" s="1">
        <f>SUM(I3:W3)</f>
        <v>-116794386.95172769</v>
      </c>
      <c r="AT3" s="3">
        <f>VLOOKUP(A3,'BASE PAN - CAPEX'!$A$3:$H$22,8,FALSE)</f>
        <v>3</v>
      </c>
    </row>
    <row r="4" spans="1:46" x14ac:dyDescent="0.25">
      <c r="A4" t="s">
        <v>39</v>
      </c>
      <c r="B4" t="s">
        <v>40</v>
      </c>
      <c r="C4">
        <v>291930</v>
      </c>
      <c r="D4" t="s">
        <v>41</v>
      </c>
      <c r="E4" t="s">
        <v>42</v>
      </c>
      <c r="F4" t="s">
        <v>34</v>
      </c>
      <c r="G4" t="s">
        <v>126</v>
      </c>
      <c r="H4" t="s">
        <v>28</v>
      </c>
      <c r="I4" s="1">
        <f>('RECEITAS - PAN'!H4-'OPEX - PAN'!H4-VLOOKUP('FLUXO DE CAIXA NOM.-S MULT. PAN'!$A4,'CAPEX - PAN S- MULT.'!$A$3:$H$21,8,FALSE))</f>
        <v>-26739278.594633333</v>
      </c>
      <c r="J4" s="1">
        <f>('RECEITAS - PAN'!I4-'OPEX - PAN'!I4-VLOOKUP('FLUXO DE CAIXA NOM.-S MULT. PAN'!$A4,'CAPEX - PAN S- MULT.'!$A$3:$I$21,9,FALSE))</f>
        <v>-10670922.822453229</v>
      </c>
      <c r="K4" s="1">
        <f>('RECEITAS - PAN'!J4-'OPEX - PAN'!J4-VLOOKUP('FLUXO DE CAIXA NOM.-S MULT. PAN'!$A4,'CAPEX - PAN S- MULT.'!$A$3:$J$21,10,FALSE))</f>
        <v>-10578710.689983333</v>
      </c>
      <c r="L4" s="1">
        <f>('RECEITAS - PAN'!K4-'OPEX - PAN'!K4-VLOOKUP('FLUXO DE CAIXA NOM.-S MULT. PAN'!$A4,'CAPEX - PAN S- MULT.'!$A$3:$K$21,11,FALSE))</f>
        <v>-2148645.6892198958</v>
      </c>
      <c r="M4" s="1">
        <f>('RECEITAS - PAN'!L4-'OPEX - PAN'!L4-VLOOKUP('FLUXO DE CAIXA NOM.-S MULT. PAN'!$A4,'CAPEX - PAN S- MULT.'!$A$3:$L$21,12,FALSE))</f>
        <v>-2245167.7960999999</v>
      </c>
      <c r="N4" s="1">
        <f>('RECEITAS - PAN'!M4-'OPEX - PAN'!M4-VLOOKUP('FLUXO DE CAIXA NOM.-S MULT. PAN'!$A4,'CAPEX - PAN S- MULT.'!$A$3:$M$21,13,FALSE))</f>
        <v>-2064711.4298198964</v>
      </c>
      <c r="O4" s="1">
        <f>('RECEITAS - PAN'!N4-'OPEX - PAN'!N4-VLOOKUP('FLUXO DE CAIXA NOM.-S MULT. PAN'!$A4,'CAPEX - PAN S- MULT.'!$A$3:$N$21,14,FALSE))</f>
        <v>-1955840.9557999999</v>
      </c>
      <c r="P4" s="1">
        <f>('RECEITAS - PAN'!O4-'OPEX - PAN'!O4-VLOOKUP('FLUXO DE CAIXA NOM.-S MULT. PAN'!$A4,'CAPEX - PAN S- MULT.'!$A$3:$O$21,15,FALSE))</f>
        <v>-2198824.532519896</v>
      </c>
      <c r="Q4" s="1">
        <f>('RECEITAS - PAN'!P4-'OPEX - PAN'!P4-VLOOKUP('FLUXO DE CAIXA NOM.-S MULT. PAN'!$A4,'CAPEX - PAN S- MULT.'!$A$3:$P$21,16,FALSE))</f>
        <v>-1886654.3973000001</v>
      </c>
      <c r="R4" s="1">
        <f>('RECEITAS - PAN'!Q4-'OPEX - PAN'!Q4-VLOOKUP('FLUXO DE CAIXA NOM.-S MULT. PAN'!$A4,'CAPEX - PAN S- MULT.'!$A$3:$Q$21,17,FALSE))</f>
        <v>-10037795.190219896</v>
      </c>
      <c r="S4" s="1">
        <f>('RECEITAS - PAN'!R4-'OPEX - PAN'!R4-VLOOKUP('FLUXO DE CAIXA NOM.-S MULT. PAN'!$A4,'CAPEX - PAN S- MULT.'!$A$3:$R$21,18,FALSE))</f>
        <v>-1820216.9356</v>
      </c>
      <c r="T4" s="1">
        <f>('RECEITAS - PAN'!S4-'OPEX - PAN'!S4-VLOOKUP('FLUXO DE CAIXA NOM.-S MULT. PAN'!$A4,'CAPEX - PAN S- MULT.'!$A$3:$S$21,19,FALSE))</f>
        <v>-1856009.3554198958</v>
      </c>
      <c r="U4" s="1">
        <f>('RECEITAS - PAN'!T4-'OPEX - PAN'!T4-VLOOKUP('FLUXO DE CAIXA NOM.-S MULT. PAN'!$A4,'CAPEX - PAN S- MULT.'!$A$3:$T$21,20,FALSE))</f>
        <v>-1752590.0921</v>
      </c>
      <c r="V4" s="1">
        <f>('RECEITAS - PAN'!U4-'OPEX - PAN'!U4-VLOOKUP('FLUXO DE CAIXA NOM.-S MULT. PAN'!$A4,'CAPEX - PAN S- MULT.'!$A$3:$U$21,21,FALSE))</f>
        <v>-1788266.9774198958</v>
      </c>
      <c r="W4" s="1">
        <f>('RECEITAS - PAN'!V4-'OPEX - PAN'!V4-VLOOKUP('FLUXO DE CAIXA NOM.-S MULT. PAN'!$A4,'CAPEX - PAN S- MULT.'!$A$3:$V$21,22,FALSE))</f>
        <v>-9815991.2648000009</v>
      </c>
      <c r="X4" s="1">
        <f>('RECEITAS - PAN'!W4-'OPEX - PAN'!W4-VLOOKUP('FLUXO DE CAIXA NOM.-S MULT. PAN'!$A4,'CAPEX - PAN S- MULT.'!$A$3:$W$21,23,FALSE))</f>
        <v>-1718687.8734198958</v>
      </c>
      <c r="Y4" s="1">
        <f>('RECEITAS - PAN'!X4-'OPEX - PAN'!X4-VLOOKUP('FLUXO DE CAIXA NOM.-S MULT. PAN'!$A4,'CAPEX - PAN S- MULT.'!$A$3:$X$21,24,FALSE))</f>
        <v>-1613036.1843000001</v>
      </c>
      <c r="Z4" s="1">
        <f>('RECEITAS - PAN'!Y4-'OPEX - PAN'!Y4-VLOOKUP('FLUXO DE CAIXA NOM.-S MULT. PAN'!$A4,'CAPEX - PAN S- MULT.'!$A$3:$Y$21,25,FALSE))</f>
        <v>-1855268.7870198959</v>
      </c>
      <c r="AA4" s="1">
        <f>('RECEITAS - PAN'!Z4-'OPEX - PAN'!Z4-VLOOKUP('FLUXO DE CAIXA NOM.-S MULT. PAN'!$A4,'CAPEX - PAN S- MULT.'!$A$3:$Z$21,26,FALSE))</f>
        <v>-1540787.9628999999</v>
      </c>
      <c r="AB4" s="1">
        <f>('RECEITAS - PAN'!AA4-'OPEX - PAN'!AA4-VLOOKUP('FLUXO DE CAIXA NOM.-S MULT. PAN'!$A4,'CAPEX - PAN S- MULT.'!$A$3:$AA$21,27,FALSE))</f>
        <v>-9688730.4668198954</v>
      </c>
      <c r="AC4" s="1">
        <f>('RECEITAS - PAN'!AB4-'OPEX - PAN'!AB4-VLOOKUP('FLUXO DE CAIXA NOM.-S MULT. PAN'!$A4,'CAPEX - PAN S- MULT.'!$A$3:$AB$21,28,FALSE))</f>
        <v>-1468027.6285000001</v>
      </c>
      <c r="AD4" s="1">
        <f>('RECEITAS - PAN'!AC4-'OPEX - PAN'!AC4-VLOOKUP('FLUXO DE CAIXA NOM.-S MULT. PAN'!$A4,'CAPEX - PAN S- MULT.'!$A$3:$AC$21,29,FALSE))</f>
        <v>-1500960.5706198958</v>
      </c>
      <c r="AE4" s="1">
        <f>('RECEITAS - PAN'!AD4-'OPEX - PAN'!AD4-VLOOKUP('FLUXO DE CAIXA NOM.-S MULT. PAN'!$A4,'CAPEX - PAN S- MULT.'!$A$3:$AD$21,30,FALSE))</f>
        <v>-1394017.5066</v>
      </c>
      <c r="AF4" s="1">
        <f>('RECEITAS - PAN'!AE4-'OPEX - PAN'!AE4-VLOOKUP('FLUXO DE CAIXA NOM.-S MULT. PAN'!$A4,'CAPEX - PAN S- MULT.'!$A$3:$AE$21,31,FALSE))</f>
        <v>-1426228.358619896</v>
      </c>
      <c r="AG4" s="1">
        <f>('RECEITAS - PAN'!AF4-'OPEX - PAN'!AF4-VLOOKUP('FLUXO DE CAIXA NOM.-S MULT. PAN'!$A4,'CAPEX - PAN S- MULT.'!$A$3:$AF$21,32,FALSE))</f>
        <v>-1528539.013</v>
      </c>
      <c r="AH4" s="1">
        <f>('RECEITAS - PAN'!AG4-'OPEX - PAN'!AG4-VLOOKUP('FLUXO DE CAIXA NOM.-S MULT. PAN'!$A4,'CAPEX - PAN S- MULT.'!$A$3:$AG$21,33,FALSE))</f>
        <v>-1352461.1307198957</v>
      </c>
      <c r="AI4" s="1">
        <f>('RECEITAS - PAN'!AH4-'OPEX - PAN'!AH4-VLOOKUP('FLUXO DE CAIXA NOM.-S MULT. PAN'!$A4,'CAPEX - PAN S- MULT.'!$A$3:$AH$21,34,FALSE))</f>
        <v>-1245003.3153999997</v>
      </c>
      <c r="AJ4" s="1">
        <f>('RECEITAS - PAN'!AI4-'OPEX - PAN'!AI4-VLOOKUP('FLUXO DE CAIXA NOM.-S MULT. PAN'!$A4,'CAPEX - PAN S- MULT.'!$A$3:$AI$21,35,FALSE))</f>
        <v>-1485156.2980198958</v>
      </c>
      <c r="AK4" s="1">
        <f>VLOOKUP($A4,'RECEITAS - PAN'!$A$3:$AJ$21,36,FALSE)-VLOOKUP($A4,'OPEX - PAN'!$A$3:$AJ$21,36,FALSE)-VLOOKUP('FLUXO DE CAIXA NOM.-S MULT. PAN'!$A4,'CAPEX - PAN S- MULT.'!$A$3:$AJ$21,36,FALSE)</f>
        <v>-1172462.5408119094</v>
      </c>
      <c r="AL4" s="1">
        <f>VLOOKUP($A4,'RECEITAS - PAN'!$A$3:$AK$21,37,FALSE)-VLOOKUP($A4,'OPEX - PAN'!$A$3:$AK$21,37,FALSE)-VLOOKUP('FLUXO DE CAIXA NOM.-S MULT. PAN'!$A4,'CAPEX - PAN S- MULT.'!$A$3:$AK$21,37,FALSE)</f>
        <v>-1209001.2311819152</v>
      </c>
      <c r="AM4" s="12">
        <f t="shared" si="0"/>
        <v>-117757995.59132238</v>
      </c>
      <c r="AN4">
        <v>0</v>
      </c>
      <c r="AO4">
        <v>-12.466666666666667</v>
      </c>
      <c r="AP4">
        <v>-41.266666666666666</v>
      </c>
      <c r="AQ4" s="16">
        <f>VLOOKUP(A4,'Projeção - Demanda PAX'!$A$3:E$22,5,FALSE)</f>
        <v>28932</v>
      </c>
      <c r="AR4" s="16">
        <f>VLOOKUP(A4,'Projeção - Demanda PAX'!$A$3:$AG$22,33,FALSE)</f>
        <v>66972</v>
      </c>
      <c r="AS4" s="1">
        <f t="shared" ref="AS4:AS17" si="1">SUM(I4:W4)</f>
        <v>-87559626.723389253</v>
      </c>
      <c r="AT4" s="3">
        <f>VLOOKUP(A4,'BASE PAN - CAPEX'!$A$3:$H$22,8,FALSE)</f>
        <v>3</v>
      </c>
    </row>
    <row r="5" spans="1:46" x14ac:dyDescent="0.25">
      <c r="A5" t="s">
        <v>43</v>
      </c>
      <c r="B5" t="s">
        <v>44</v>
      </c>
      <c r="C5">
        <v>130040</v>
      </c>
      <c r="D5" t="s">
        <v>45</v>
      </c>
      <c r="E5" t="s">
        <v>44</v>
      </c>
      <c r="F5" t="s">
        <v>30</v>
      </c>
      <c r="G5" t="s">
        <v>127</v>
      </c>
      <c r="H5" t="s">
        <v>28</v>
      </c>
      <c r="I5" s="1">
        <f>('RECEITAS - PAN'!H5-'OPEX - PAN'!H5-VLOOKUP('FLUXO DE CAIXA NOM.-S MULT. PAN'!$A5,'CAPEX - PAN S- MULT.'!$A$3:$H$21,8,FALSE))</f>
        <v>-15374619.607116668</v>
      </c>
      <c r="J5" s="1">
        <f>('RECEITAS - PAN'!I5-'OPEX - PAN'!I5-VLOOKUP('FLUXO DE CAIXA NOM.-S MULT. PAN'!$A5,'CAPEX - PAN S- MULT.'!$A$3:$I$21,9,FALSE))</f>
        <v>-6968005.9212166667</v>
      </c>
      <c r="K5" s="1">
        <f>('RECEITAS - PAN'!J5-'OPEX - PAN'!J5-VLOOKUP('FLUXO DE CAIXA NOM.-S MULT. PAN'!$A5,'CAPEX - PAN S- MULT.'!$A$3:$J$21,10,FALSE))</f>
        <v>-6966691.8670666674</v>
      </c>
      <c r="L5" s="1">
        <f>('RECEITAS - PAN'!K5-'OPEX - PAN'!K5-VLOOKUP('FLUXO DE CAIXA NOM.-S MULT. PAN'!$A5,'CAPEX - PAN S- MULT.'!$A$3:$K$21,11,FALSE))</f>
        <v>-1855988.9134</v>
      </c>
      <c r="M5" s="1">
        <f>('RECEITAS - PAN'!L5-'OPEX - PAN'!L5-VLOOKUP('FLUXO DE CAIXA NOM.-S MULT. PAN'!$A5,'CAPEX - PAN S- MULT.'!$A$3:$L$21,12,FALSE))</f>
        <v>-2050693.6014</v>
      </c>
      <c r="N5" s="1">
        <f>('RECEITAS - PAN'!M5-'OPEX - PAN'!M5-VLOOKUP('FLUXO DE CAIXA NOM.-S MULT. PAN'!$A5,'CAPEX - PAN S- MULT.'!$A$3:$M$21,13,FALSE))</f>
        <v>-1851143.3647</v>
      </c>
      <c r="O5" s="1">
        <f>('RECEITAS - PAN'!N5-'OPEX - PAN'!N5-VLOOKUP('FLUXO DE CAIXA NOM.-S MULT. PAN'!$A5,'CAPEX - PAN S- MULT.'!$A$3:$N$21,14,FALSE))</f>
        <v>-1849002.9823999999</v>
      </c>
      <c r="P5" s="1">
        <f>('RECEITAS - PAN'!O5-'OPEX - PAN'!O5-VLOOKUP('FLUXO DE CAIXA NOM.-S MULT. PAN'!$A5,'CAPEX - PAN S- MULT.'!$A$3:$O$21,15,FALSE))</f>
        <v>-2044185.6369</v>
      </c>
      <c r="Q5" s="1">
        <f>('RECEITAS - PAN'!P5-'OPEX - PAN'!P5-VLOOKUP('FLUXO DE CAIXA NOM.-S MULT. PAN'!$A5,'CAPEX - PAN S- MULT.'!$A$3:$P$21,16,FALSE))</f>
        <v>-1845172.7431999999</v>
      </c>
      <c r="R5" s="1">
        <f>('RECEITAS - PAN'!Q5-'OPEX - PAN'!Q5-VLOOKUP('FLUXO DE CAIXA NOM.-S MULT. PAN'!$A5,'CAPEX - PAN S- MULT.'!$A$3:$Q$21,17,FALSE))</f>
        <v>-9414739.8304000013</v>
      </c>
      <c r="S5" s="1">
        <f>('RECEITAS - PAN'!R5-'OPEX - PAN'!R5-VLOOKUP('FLUXO DE CAIXA NOM.-S MULT. PAN'!$A5,'CAPEX - PAN S- MULT.'!$A$3:$R$21,18,FALSE))</f>
        <v>-1841562.0305999999</v>
      </c>
      <c r="T5" s="1">
        <f>('RECEITAS - PAN'!S5-'OPEX - PAN'!S5-VLOOKUP('FLUXO DE CAIXA NOM.-S MULT. PAN'!$A5,'CAPEX - PAN S- MULT.'!$A$3:$S$21,19,FALSE))</f>
        <v>-1839750.9378</v>
      </c>
      <c r="U5" s="1">
        <f>('RECEITAS - PAN'!T5-'OPEX - PAN'!T5-VLOOKUP('FLUXO DE CAIXA NOM.-S MULT. PAN'!$A5,'CAPEX - PAN S- MULT.'!$A$3:$T$21,20,FALSE))</f>
        <v>-1837923.8772</v>
      </c>
      <c r="V5" s="1">
        <f>('RECEITAS - PAN'!U5-'OPEX - PAN'!U5-VLOOKUP('FLUXO DE CAIXA NOM.-S MULT. PAN'!$A5,'CAPEX - PAN S- MULT.'!$A$3:$U$21,21,FALSE))</f>
        <v>-1836112.7842999999</v>
      </c>
      <c r="W5" s="1">
        <f>('RECEITAS - PAN'!V5-'OPEX - PAN'!V5-VLOOKUP('FLUXO DE CAIXA NOM.-S MULT. PAN'!$A5,'CAPEX - PAN S- MULT.'!$A$3:$V$21,22,FALSE))</f>
        <v>-7255665.5930999992</v>
      </c>
      <c r="X5" s="1">
        <f>('RECEITAS - PAN'!W5-'OPEX - PAN'!W5-VLOOKUP('FLUXO DE CAIXA NOM.-S MULT. PAN'!$A5,'CAPEX - PAN S- MULT.'!$A$3:$W$21,23,FALSE))</f>
        <v>-1832502.0717</v>
      </c>
      <c r="Y5" s="1">
        <f>('RECEITAS - PAN'!X5-'OPEX - PAN'!X5-VLOOKUP('FLUXO DE CAIXA NOM.-S MULT. PAN'!$A5,'CAPEX - PAN S- MULT.'!$A$3:$X$21,24,FALSE))</f>
        <v>-1830663.5379999999</v>
      </c>
      <c r="Z5" s="1">
        <f>('RECEITAS - PAN'!Y5-'OPEX - PAN'!Y5-VLOOKUP('FLUXO DE CAIXA NOM.-S MULT. PAN'!$A5,'CAPEX - PAN S- MULT.'!$A$3:$Y$21,25,FALSE))</f>
        <v>-2025928.5150000001</v>
      </c>
      <c r="AA5" s="1">
        <f>('RECEITAS - PAN'!Z5-'OPEX - PAN'!Z5-VLOOKUP('FLUXO DE CAIXA NOM.-S MULT. PAN'!$A5,'CAPEX - PAN S- MULT.'!$A$3:$Z$21,26,FALSE))</f>
        <v>-1826997.9438</v>
      </c>
      <c r="AB5" s="1">
        <f>('RECEITAS - PAN'!AA5-'OPEX - PAN'!AA5-VLOOKUP('FLUXO DE CAIXA NOM.-S MULT. PAN'!$A5,'CAPEX - PAN S- MULT.'!$A$3:$AA$21,27,FALSE))</f>
        <v>-9396592.4717000015</v>
      </c>
      <c r="AC5" s="1">
        <f>('RECEITAS - PAN'!AB5-'OPEX - PAN'!AB5-VLOOKUP('FLUXO DE CAIXA NOM.-S MULT. PAN'!$A5,'CAPEX - PAN S- MULT.'!$A$3:$AB$21,28,FALSE))</f>
        <v>-1823442.1126999999</v>
      </c>
      <c r="AD5" s="1">
        <f>('RECEITAS - PAN'!AC5-'OPEX - PAN'!AC5-VLOOKUP('FLUXO DE CAIXA NOM.-S MULT. PAN'!$A5,'CAPEX - PAN S- MULT.'!$A$3:$AC$21,29,FALSE))</f>
        <v>-1821768.2239000001</v>
      </c>
      <c r="AE5" s="1">
        <f>('RECEITAS - PAN'!AD5-'OPEX - PAN'!AD5-VLOOKUP('FLUXO DE CAIXA NOM.-S MULT. PAN'!$A5,'CAPEX - PAN S- MULT.'!$A$3:$AD$21,30,FALSE))</f>
        <v>-1820176.6575000002</v>
      </c>
      <c r="AF5" s="1">
        <f>('RECEITAS - PAN'!AE5-'OPEX - PAN'!AE5-VLOOKUP('FLUXO DE CAIXA NOM.-S MULT. PAN'!$A5,'CAPEX - PAN S- MULT.'!$A$3:$AE$21,31,FALSE))</f>
        <v>-1818569.1233000001</v>
      </c>
      <c r="AG5" s="1">
        <f>('RECEITAS - PAN'!AF5-'OPEX - PAN'!AF5-VLOOKUP('FLUXO DE CAIXA NOM.-S MULT. PAN'!$A5,'CAPEX - PAN S- MULT.'!$A$3:$AF$21,32,FALSE))</f>
        <v>-2014234.2392</v>
      </c>
      <c r="AH5" s="1">
        <f>('RECEITAS - PAN'!AG5-'OPEX - PAN'!AG5-VLOOKUP('FLUXO DE CAIXA NOM.-S MULT. PAN'!$A5,'CAPEX - PAN S- MULT.'!$A$3:$AG$21,33,FALSE))</f>
        <v>-1815578.0759999999</v>
      </c>
      <c r="AI5" s="1">
        <f>('RECEITAS - PAN'!AH5-'OPEX - PAN'!AH5-VLOOKUP('FLUXO DE CAIXA NOM.-S MULT. PAN'!$A5,'CAPEX - PAN S- MULT.'!$A$3:$AH$21,34,FALSE))</f>
        <v>-1814080.3048999999</v>
      </c>
      <c r="AJ5" s="1">
        <f>('RECEITAS - PAN'!AI5-'OPEX - PAN'!AI5-VLOOKUP('FLUXO DE CAIXA NOM.-S MULT. PAN'!$A5,'CAPEX - PAN S- MULT.'!$A$3:$AI$21,35,FALSE))</f>
        <v>-2009745.4209</v>
      </c>
      <c r="AK5" s="1">
        <f>VLOOKUP($A5,'RECEITAS - PAN'!$A$3:$AJ$21,36,FALSE)-VLOOKUP($A5,'OPEX - PAN'!$A$3:$AJ$21,36,FALSE)-VLOOKUP('FLUXO DE CAIXA NOM.-S MULT. PAN'!$A5,'CAPEX - PAN S- MULT.'!$A$3:$AJ$21,36,FALSE)</f>
        <v>-1808848.0195722219</v>
      </c>
      <c r="AL5" s="1">
        <f>VLOOKUP($A5,'RECEITAS - PAN'!$A$3:$AK$21,37,FALSE)-VLOOKUP($A5,'OPEX - PAN'!$A$3:$AK$21,37,FALSE)-VLOOKUP('FLUXO DE CAIXA NOM.-S MULT. PAN'!$A5,'CAPEX - PAN S- MULT.'!$A$3:$AK$21,37,FALSE)</f>
        <v>-1807280.0578793648</v>
      </c>
      <c r="AM5" s="12">
        <f t="shared" si="0"/>
        <v>-100297666.46685159</v>
      </c>
      <c r="AN5">
        <v>1</v>
      </c>
      <c r="AO5">
        <v>-0.96666666666666667</v>
      </c>
      <c r="AP5">
        <v>-62.916666666666664</v>
      </c>
      <c r="AQ5" s="16">
        <f>VLOOKUP(A5,'Projeção - Demanda PAX'!$A$3:E$22,5,FALSE)</f>
        <v>1734</v>
      </c>
      <c r="AR5" s="16">
        <f>VLOOKUP(A5,'Projeção - Demanda PAX'!$A$3:$AG$22,33,FALSE)</f>
        <v>3817</v>
      </c>
      <c r="AS5" s="1">
        <f t="shared" si="1"/>
        <v>-64831259.690799996</v>
      </c>
      <c r="AT5" s="3">
        <f>VLOOKUP(A5,'BASE PAN - CAPEX'!$A$3:$H$22,8,FALSE)</f>
        <v>1</v>
      </c>
    </row>
    <row r="6" spans="1:46" x14ac:dyDescent="0.25">
      <c r="A6" t="s">
        <v>47</v>
      </c>
      <c r="B6" t="s">
        <v>48</v>
      </c>
      <c r="C6">
        <v>130190</v>
      </c>
      <c r="D6" t="s">
        <v>49</v>
      </c>
      <c r="E6" t="s">
        <v>48</v>
      </c>
      <c r="F6" t="s">
        <v>30</v>
      </c>
      <c r="G6" t="s">
        <v>127</v>
      </c>
      <c r="H6" t="s">
        <v>28</v>
      </c>
      <c r="I6" s="1">
        <f>('RECEITAS - PAN'!H6-'OPEX - PAN'!H6-VLOOKUP('FLUXO DE CAIXA NOM.-S MULT. PAN'!$A6,'CAPEX - PAN S- MULT.'!$A$3:$H$21,8,FALSE))</f>
        <v>-23662085.925350003</v>
      </c>
      <c r="J6" s="1">
        <f>('RECEITAS - PAN'!I6-'OPEX - PAN'!I6-VLOOKUP('FLUXO DE CAIXA NOM.-S MULT. PAN'!$A6,'CAPEX - PAN S- MULT.'!$A$3:$I$21,9,FALSE))</f>
        <v>-22637994.117373757</v>
      </c>
      <c r="K6" s="1">
        <f>('RECEITAS - PAN'!J6-'OPEX - PAN'!J6-VLOOKUP('FLUXO DE CAIXA NOM.-S MULT. PAN'!$A6,'CAPEX - PAN S- MULT.'!$A$3:$J$21,10,FALSE))</f>
        <v>-22457602.919299997</v>
      </c>
      <c r="L6" s="1">
        <f>('RECEITAS - PAN'!K6-'OPEX - PAN'!K6-VLOOKUP('FLUXO DE CAIXA NOM.-S MULT. PAN'!$A6,'CAPEX - PAN S- MULT.'!$A$3:$K$21,11,FALSE))</f>
        <v>-1412155.2209237576</v>
      </c>
      <c r="M6" s="1">
        <f>('RECEITAS - PAN'!L6-'OPEX - PAN'!L6-VLOOKUP('FLUXO DE CAIXA NOM.-S MULT. PAN'!$A6,'CAPEX - PAN S- MULT.'!$A$3:$L$21,12,FALSE))</f>
        <v>-1413811.3441999997</v>
      </c>
      <c r="N6" s="1">
        <f>('RECEITAS - PAN'!M6-'OPEX - PAN'!M6-VLOOKUP('FLUXO DE CAIXA NOM.-S MULT. PAN'!$A6,'CAPEX - PAN S- MULT.'!$A$3:$M$21,13,FALSE))</f>
        <v>-1165709.3520237566</v>
      </c>
      <c r="O6" s="1">
        <f>('RECEITAS - PAN'!N6-'OPEX - PAN'!N6-VLOOKUP('FLUXO DE CAIXA NOM.-S MULT. PAN'!$A6,'CAPEX - PAN S- MULT.'!$A$3:$N$21,14,FALSE))</f>
        <v>-957210.8387000002</v>
      </c>
      <c r="P6" s="1">
        <f>('RECEITAS - PAN'!O6-'OPEX - PAN'!O6-VLOOKUP('FLUXO DE CAIXA NOM.-S MULT. PAN'!$A6,'CAPEX - PAN S- MULT.'!$A$3:$O$21,15,FALSE))</f>
        <v>-1163890.2422237569</v>
      </c>
      <c r="Q6" s="1">
        <f>('RECEITAS - PAN'!P6-'OPEX - PAN'!P6-VLOOKUP('FLUXO DE CAIXA NOM.-S MULT. PAN'!$A6,'CAPEX - PAN S- MULT.'!$A$3:$P$21,16,FALSE))</f>
        <v>-748404.86719999975</v>
      </c>
      <c r="R6" s="1">
        <f>('RECEITAS - PAN'!Q6-'OPEX - PAN'!Q6-VLOOKUP('FLUXO DE CAIXA NOM.-S MULT. PAN'!$A6,'CAPEX - PAN S- MULT.'!$A$3:$Q$21,17,FALSE))</f>
        <v>-9710948.7059237584</v>
      </c>
      <c r="S6" s="1">
        <f>('RECEITAS - PAN'!R6-'OPEX - PAN'!R6-VLOOKUP('FLUXO DE CAIXA NOM.-S MULT. PAN'!$A6,'CAPEX - PAN S- MULT.'!$A$3:$R$21,18,FALSE))</f>
        <v>-547161.32770000026</v>
      </c>
      <c r="T6" s="1">
        <f>('RECEITAS - PAN'!S6-'OPEX - PAN'!S6-VLOOKUP('FLUXO DE CAIXA NOM.-S MULT. PAN'!$A6,'CAPEX - PAN S- MULT.'!$A$3:$S$21,19,FALSE))</f>
        <v>-534680.16792375688</v>
      </c>
      <c r="U6" s="1">
        <f>('RECEITAS - PAN'!T6-'OPEX - PAN'!T6-VLOOKUP('FLUXO DE CAIXA NOM.-S MULT. PAN'!$A6,'CAPEX - PAN S- MULT.'!$A$3:$T$21,20,FALSE))</f>
        <v>-339832.40409999993</v>
      </c>
      <c r="V6" s="1">
        <f>('RECEITAS - PAN'!U6-'OPEX - PAN'!U6-VLOOKUP('FLUXO DE CAIXA NOM.-S MULT. PAN'!$A6,'CAPEX - PAN S- MULT.'!$A$3:$U$21,21,FALSE))</f>
        <v>-328016.95212375699</v>
      </c>
      <c r="W6" s="1">
        <f>('RECEITAS - PAN'!V6-'OPEX - PAN'!V6-VLOOKUP('FLUXO DE CAIXA NOM.-S MULT. PAN'!$A6,'CAPEX - PAN S- MULT.'!$A$3:$V$21,22,FALSE))</f>
        <v>-5540227.660600001</v>
      </c>
      <c r="X6" s="1">
        <f>('RECEITAS - PAN'!W6-'OPEX - PAN'!W6-VLOOKUP('FLUXO DE CAIXA NOM.-S MULT. PAN'!$A6,'CAPEX - PAN S- MULT.'!$A$3:$W$21,23,FALSE))</f>
        <v>-117498.72842375656</v>
      </c>
      <c r="Y6" s="1">
        <f>('RECEITAS - PAN'!X6-'OPEX - PAN'!X6-VLOOKUP('FLUXO DE CAIXA NOM.-S MULT. PAN'!$A6,'CAPEX - PAN S- MULT.'!$A$3:$X$21,24,FALSE))</f>
        <v>77029.904699999839</v>
      </c>
      <c r="Z6" s="1">
        <f>('RECEITAS - PAN'!Y6-'OPEX - PAN'!Y6-VLOOKUP('FLUXO DE CAIXA NOM.-S MULT. PAN'!$A6,'CAPEX - PAN S- MULT.'!$A$3:$Y$21,25,FALSE))</f>
        <v>-127812.98332375759</v>
      </c>
      <c r="AA6" s="1">
        <f>('RECEITAS - PAN'!Z6-'OPEX - PAN'!Z6-VLOOKUP('FLUXO DE CAIXA NOM.-S MULT. PAN'!$A6,'CAPEX - PAN S- MULT.'!$A$3:$Z$21,26,FALSE))</f>
        <v>291112.86119999923</v>
      </c>
      <c r="AB6" s="1">
        <f>('RECEITAS - PAN'!AA6-'OPEX - PAN'!AA6-VLOOKUP('FLUXO DE CAIXA NOM.-S MULT. PAN'!$A6,'CAPEX - PAN S- MULT.'!$A$3:$AA$21,27,FALSE))</f>
        <v>-8662183.6718237586</v>
      </c>
      <c r="AC6" s="1">
        <f>('RECEITAS - PAN'!AB6-'OPEX - PAN'!AB6-VLOOKUP('FLUXO DE CAIXA NOM.-S MULT. PAN'!$A6,'CAPEX - PAN S- MULT.'!$A$3:$AB$21,28,FALSE))</f>
        <v>509472.89320000075</v>
      </c>
      <c r="AD6" s="1">
        <f>('RECEITAS - PAN'!AC6-'OPEX - PAN'!AC6-VLOOKUP('FLUXO DE CAIXA NOM.-S MULT. PAN'!$A6,'CAPEX - PAN S- MULT.'!$A$3:$AC$21,29,FALSE))</f>
        <v>515442.93417624291</v>
      </c>
      <c r="AE6" s="1">
        <f>('RECEITAS - PAN'!AD6-'OPEX - PAN'!AD6-VLOOKUP('FLUXO DE CAIXA NOM.-S MULT. PAN'!$A6,'CAPEX - PAN S- MULT.'!$A$3:$AD$21,30,FALSE))</f>
        <v>704637.02529999986</v>
      </c>
      <c r="AF6" s="1">
        <f>('RECEITAS - PAN'!AE6-'OPEX - PAN'!AE6-VLOOKUP('FLUXO DE CAIXA NOM.-S MULT. PAN'!$A6,'CAPEX - PAN S- MULT.'!$A$3:$AE$21,31,FALSE))</f>
        <v>714889.05967624206</v>
      </c>
      <c r="AG6" s="1">
        <f>('RECEITAS - PAN'!AF6-'OPEX - PAN'!AF6-VLOOKUP('FLUXO DE CAIXA NOM.-S MULT. PAN'!$A6,'CAPEX - PAN S- MULT.'!$A$3:$AF$21,32,FALSE))</f>
        <v>681215.95369999949</v>
      </c>
      <c r="AH6" s="1">
        <f>('RECEITAS - PAN'!AG6-'OPEX - PAN'!AG6-VLOOKUP('FLUXO DE CAIXA NOM.-S MULT. PAN'!$A6,'CAPEX - PAN S- MULT.'!$A$3:$AG$21,33,FALSE))</f>
        <v>909926.6200762419</v>
      </c>
      <c r="AI6" s="1">
        <f>('RECEITAS - PAN'!AH6-'OPEX - PAN'!AH6-VLOOKUP('FLUXO DE CAIXA NOM.-S MULT. PAN'!$A6,'CAPEX - PAN S- MULT.'!$A$3:$AH$21,34,FALSE))</f>
        <v>1118101.2251000004</v>
      </c>
      <c r="AJ6" s="1">
        <f>('RECEITAS - PAN'!AI6-'OPEX - PAN'!AI6-VLOOKUP('FLUXO DE CAIXA NOM.-S MULT. PAN'!$A6,'CAPEX - PAN S- MULT.'!$A$3:$AI$21,35,FALSE))</f>
        <v>909444.14767624252</v>
      </c>
      <c r="AK6" s="1">
        <f>VLOOKUP($A6,'RECEITAS - PAN'!$A$3:$AJ$21,36,FALSE)-VLOOKUP($A6,'OPEX - PAN'!$A$3:$AJ$21,36,FALSE)-VLOOKUP('FLUXO DE CAIXA NOM.-S MULT. PAN'!$A6,'CAPEX - PAN S- MULT.'!$A$3:$AJ$21,36,FALSE)</f>
        <v>1371772.3619880863</v>
      </c>
      <c r="AL6" s="1">
        <f>VLOOKUP($A6,'RECEITAS - PAN'!$A$3:$AK$21,37,FALSE)-VLOOKUP($A6,'OPEX - PAN'!$A$3:$AK$21,37,FALSE)-VLOOKUP('FLUXO DE CAIXA NOM.-S MULT. PAN'!$A6,'CAPEX - PAN S- MULT.'!$A$3:$AK$21,37,FALSE)</f>
        <v>1361780.1082404274</v>
      </c>
      <c r="AM6" s="12">
        <f t="shared" si="0"/>
        <v>-92362402.334204108</v>
      </c>
      <c r="AN6">
        <v>1</v>
      </c>
      <c r="AO6">
        <v>-3.1166666666666667</v>
      </c>
      <c r="AP6">
        <v>-58.466666666666669</v>
      </c>
      <c r="AQ6" s="16">
        <f>VLOOKUP(A6,'Projeção - Demanda PAX'!$A$3:E$22,5,FALSE)</f>
        <v>60626</v>
      </c>
      <c r="AR6" s="16">
        <f>VLOOKUP(A6,'Projeção - Demanda PAX'!$A$3:$AG$22,33,FALSE)</f>
        <v>175274</v>
      </c>
      <c r="AS6" s="1">
        <f t="shared" si="1"/>
        <v>-92619732.045666307</v>
      </c>
      <c r="AT6" s="3">
        <f>VLOOKUP(A6,'BASE PAN - CAPEX'!$A$3:$H$22,8,FALSE)</f>
        <v>3</v>
      </c>
    </row>
    <row r="7" spans="1:46" x14ac:dyDescent="0.25">
      <c r="A7" t="s">
        <v>50</v>
      </c>
      <c r="B7" t="s">
        <v>95</v>
      </c>
      <c r="C7">
        <v>120060</v>
      </c>
      <c r="D7" t="s">
        <v>52</v>
      </c>
      <c r="E7" t="s">
        <v>51</v>
      </c>
      <c r="F7" t="s">
        <v>35</v>
      </c>
      <c r="G7" t="s">
        <v>127</v>
      </c>
      <c r="H7" t="s">
        <v>28</v>
      </c>
      <c r="I7" s="1">
        <f>('RECEITAS - PAN'!H7-'OPEX - PAN'!H7-VLOOKUP('FLUXO DE CAIXA NOM.-S MULT. PAN'!$A7,'CAPEX - PAN S- MULT.'!$A$3:$H$21,8,FALSE))</f>
        <v>-13645357.958433334</v>
      </c>
      <c r="J7" s="1">
        <f>('RECEITAS - PAN'!I7-'OPEX - PAN'!I7-VLOOKUP('FLUXO DE CAIXA NOM.-S MULT. PAN'!$A7,'CAPEX - PAN S- MULT.'!$A$3:$I$21,9,FALSE))</f>
        <v>-12640328.742783334</v>
      </c>
      <c r="K7" s="1">
        <f>('RECEITAS - PAN'!J7-'OPEX - PAN'!J7-VLOOKUP('FLUXO DE CAIXA NOM.-S MULT. PAN'!$A7,'CAPEX - PAN S- MULT.'!$A$3:$J$21,10,FALSE))</f>
        <v>-12635495.479083333</v>
      </c>
      <c r="L7" s="1">
        <f>('RECEITAS - PAN'!K7-'OPEX - PAN'!K7-VLOOKUP('FLUXO DE CAIXA NOM.-S MULT. PAN'!$A7,'CAPEX - PAN S- MULT.'!$A$3:$K$21,11,FALSE))</f>
        <v>-1747069.5057999999</v>
      </c>
      <c r="M7" s="1">
        <f>('RECEITAS - PAN'!L7-'OPEX - PAN'!L7-VLOOKUP('FLUXO DE CAIXA NOM.-S MULT. PAN'!$A7,'CAPEX - PAN S- MULT.'!$A$3:$L$21,12,FALSE))</f>
        <v>-1917421.7510999998</v>
      </c>
      <c r="N7" s="1">
        <f>('RECEITAS - PAN'!M7-'OPEX - PAN'!M7-VLOOKUP('FLUXO DE CAIXA NOM.-S MULT. PAN'!$A7,'CAPEX - PAN S- MULT.'!$A$3:$M$21,13,FALSE))</f>
        <v>-1727854.4796</v>
      </c>
      <c r="O7" s="1">
        <f>('RECEITAS - PAN'!N7-'OPEX - PAN'!N7-VLOOKUP('FLUXO DE CAIXA NOM.-S MULT. PAN'!$A7,'CAPEX - PAN S- MULT.'!$A$3:$N$21,14,FALSE))</f>
        <v>-1718507.4854000001</v>
      </c>
      <c r="P7" s="1">
        <f>('RECEITAS - PAN'!O7-'OPEX - PAN'!O7-VLOOKUP('FLUXO DE CAIXA NOM.-S MULT. PAN'!$A7,'CAPEX - PAN S- MULT.'!$A$3:$O$21,15,FALSE))</f>
        <v>-1889917.2432999997</v>
      </c>
      <c r="Q7" s="1">
        <f>('RECEITAS - PAN'!P7-'OPEX - PAN'!P7-VLOOKUP('FLUXO DE CAIXA NOM.-S MULT. PAN'!$A7,'CAPEX - PAN S- MULT.'!$A$3:$P$21,16,FALSE))</f>
        <v>-1702021.1351999999</v>
      </c>
      <c r="R7" s="1">
        <f>('RECEITAS - PAN'!Q7-'OPEX - PAN'!Q7-VLOOKUP('FLUXO DE CAIXA NOM.-S MULT. PAN'!$A7,'CAPEX - PAN S- MULT.'!$A$3:$Q$21,17,FALSE))</f>
        <v>-7902004.4002</v>
      </c>
      <c r="S7" s="1">
        <f>('RECEITAS - PAN'!R7-'OPEX - PAN'!R7-VLOOKUP('FLUXO DE CAIXA NOM.-S MULT. PAN'!$A7,'CAPEX - PAN S- MULT.'!$A$3:$R$21,18,FALSE))</f>
        <v>-1685372.0907999999</v>
      </c>
      <c r="T7" s="1">
        <f>('RECEITAS - PAN'!S7-'OPEX - PAN'!S7-VLOOKUP('FLUXO DE CAIXA NOM.-S MULT. PAN'!$A7,'CAPEX - PAN S- MULT.'!$A$3:$S$21,19,FALSE))</f>
        <v>-1677070.0967999999</v>
      </c>
      <c r="U7" s="1">
        <f>('RECEITAS - PAN'!T7-'OPEX - PAN'!T7-VLOOKUP('FLUXO DE CAIXA NOM.-S MULT. PAN'!$A7,'CAPEX - PAN S- MULT.'!$A$3:$T$21,20,FALSE))</f>
        <v>-1668826.9217000001</v>
      </c>
      <c r="V7" s="1">
        <f>('RECEITAS - PAN'!U7-'OPEX - PAN'!U7-VLOOKUP('FLUXO DE CAIXA NOM.-S MULT. PAN'!$A7,'CAPEX - PAN S- MULT.'!$A$3:$U$21,21,FALSE))</f>
        <v>-1660122.7796</v>
      </c>
      <c r="W7" s="1">
        <f>('RECEITAS - PAN'!V7-'OPEX - PAN'!V7-VLOOKUP('FLUXO DE CAIXA NOM.-S MULT. PAN'!$A7,'CAPEX - PAN S- MULT.'!$A$3:$V$21,22,FALSE))</f>
        <v>-8538985.1633000001</v>
      </c>
      <c r="X7" s="1">
        <f>('RECEITAS - PAN'!W7-'OPEX - PAN'!W7-VLOOKUP('FLUXO DE CAIXA NOM.-S MULT. PAN'!$A7,'CAPEX - PAN S- MULT.'!$A$3:$W$21,23,FALSE))</f>
        <v>-1642443.3382999999</v>
      </c>
      <c r="Y7" s="1">
        <f>('RECEITAS - PAN'!X7-'OPEX - PAN'!X7-VLOOKUP('FLUXO DE CAIXA NOM.-S MULT. PAN'!$A7,'CAPEX - PAN S- MULT.'!$A$3:$X$21,24,FALSE))</f>
        <v>-1633495.1548000001</v>
      </c>
      <c r="Z7" s="1">
        <f>('RECEITAS - PAN'!Y7-'OPEX - PAN'!Y7-VLOOKUP('FLUXO DE CAIXA NOM.-S MULT. PAN'!$A7,'CAPEX - PAN S- MULT.'!$A$3:$Y$21,25,FALSE))</f>
        <v>-1804113.9697999998</v>
      </c>
      <c r="AA7" s="1">
        <f>('RECEITAS - PAN'!Z7-'OPEX - PAN'!Z7-VLOOKUP('FLUXO DE CAIXA NOM.-S MULT. PAN'!$A7,'CAPEX - PAN S- MULT.'!$A$3:$Z$21,26,FALSE))</f>
        <v>-1614807.8448999999</v>
      </c>
      <c r="AB7" s="1">
        <f>('RECEITAS - PAN'!AA7-'OPEX - PAN'!AA7-VLOOKUP('FLUXO DE CAIXA NOM.-S MULT. PAN'!$A7,'CAPEX - PAN S- MULT.'!$A$3:$AA$21,27,FALSE))</f>
        <v>-7814303.0271000005</v>
      </c>
      <c r="AC7" s="1">
        <f>('RECEITAS - PAN'!AB7-'OPEX - PAN'!AB7-VLOOKUP('FLUXO DE CAIXA NOM.-S MULT. PAN'!$A7,'CAPEX - PAN S- MULT.'!$A$3:$AB$21,28,FALSE))</f>
        <v>-1596558.9737</v>
      </c>
      <c r="AD7" s="1">
        <f>('RECEITAS - PAN'!AC7-'OPEX - PAN'!AC7-VLOOKUP('FLUXO DE CAIXA NOM.-S MULT. PAN'!$A7,'CAPEX - PAN S- MULT.'!$A$3:$AC$21,29,FALSE))</f>
        <v>-1588153.1043</v>
      </c>
      <c r="AE7" s="1">
        <f>('RECEITAS - PAN'!AD7-'OPEX - PAN'!AD7-VLOOKUP('FLUXO DE CAIXA NOM.-S MULT. PAN'!$A7,'CAPEX - PAN S- MULT.'!$A$3:$AD$21,30,FALSE))</f>
        <v>-1579323.3942</v>
      </c>
      <c r="AF7" s="1">
        <f>('RECEITAS - PAN'!AE7-'OPEX - PAN'!AE7-VLOOKUP('FLUXO DE CAIXA NOM.-S MULT. PAN'!$A7,'CAPEX - PAN S- MULT.'!$A$3:$AE$21,31,FALSE))</f>
        <v>-1571107.3348000001</v>
      </c>
      <c r="AG7" s="1">
        <f>('RECEITAS - PAN'!AF7-'OPEX - PAN'!AF7-VLOOKUP('FLUXO DE CAIXA NOM.-S MULT. PAN'!$A7,'CAPEX - PAN S- MULT.'!$A$3:$AF$21,32,FALSE))</f>
        <v>-1743249.2168000001</v>
      </c>
      <c r="AH7" s="1">
        <f>('RECEITAS - PAN'!AG7-'OPEX - PAN'!AG7-VLOOKUP('FLUXO DE CAIXA NOM.-S MULT. PAN'!$A7,'CAPEX - PAN S- MULT.'!$A$3:$AG$21,33,FALSE))</f>
        <v>-1555081.9517000001</v>
      </c>
      <c r="AI7" s="1">
        <f>('RECEITAS - PAN'!AH7-'OPEX - PAN'!AH7-VLOOKUP('FLUXO DE CAIXA NOM.-S MULT. PAN'!$A7,'CAPEX - PAN S- MULT.'!$A$3:$AH$21,34,FALSE))</f>
        <v>-1546865.8922999999</v>
      </c>
      <c r="AJ7" s="1">
        <f>('RECEITAS - PAN'!AI7-'OPEX - PAN'!AI7-VLOOKUP('FLUXO DE CAIXA NOM.-S MULT. PAN'!$A7,'CAPEX - PAN S- MULT.'!$A$3:$AI$21,35,FALSE))</f>
        <v>-1718628.1543999999</v>
      </c>
      <c r="AK7" s="1">
        <f>VLOOKUP($A7,'RECEITAS - PAN'!$A$3:$AJ$21,36,FALSE)-VLOOKUP($A7,'OPEX - PAN'!$A$3:$AJ$21,36,FALSE)-VLOOKUP('FLUXO DE CAIXA NOM.-S MULT. PAN'!$A7,'CAPEX - PAN S- MULT.'!$A$3:$AJ$21,36,FALSE)</f>
        <v>-1527387.9998420631</v>
      </c>
      <c r="AL7" s="1">
        <f>VLOOKUP($A7,'RECEITAS - PAN'!$A$3:$AK$21,37,FALSE)-VLOOKUP($A7,'OPEX - PAN'!$A$3:$AK$21,37,FALSE)-VLOOKUP('FLUXO DE CAIXA NOM.-S MULT. PAN'!$A7,'CAPEX - PAN S- MULT.'!$A$3:$AK$21,37,FALSE)</f>
        <v>-1519083.1003139471</v>
      </c>
      <c r="AM7" s="12">
        <f t="shared" si="0"/>
        <v>-103210957.69035602</v>
      </c>
      <c r="AN7">
        <v>1</v>
      </c>
      <c r="AO7">
        <v>-8.15</v>
      </c>
      <c r="AP7">
        <v>-70.766666666666666</v>
      </c>
      <c r="AQ7" s="16">
        <f>VLOOKUP(A7,'Projeção - Demanda PAX'!$A$3:E$22,5,FALSE)</f>
        <v>5677</v>
      </c>
      <c r="AR7" s="16">
        <f>VLOOKUP(A7,'Projeção - Demanda PAX'!$A$3:$AG$22,33,FALSE)</f>
        <v>15150</v>
      </c>
      <c r="AS7" s="1">
        <f t="shared" si="1"/>
        <v>-72756355.233099997</v>
      </c>
      <c r="AT7" s="3">
        <f>VLOOKUP(A7,'BASE PAN - CAPEX'!$A$3:$H$22,8,FALSE)</f>
        <v>1</v>
      </c>
    </row>
    <row r="8" spans="1:46" x14ac:dyDescent="0.25">
      <c r="A8" t="s">
        <v>53</v>
      </c>
      <c r="B8" t="s">
        <v>54</v>
      </c>
      <c r="C8">
        <v>292400</v>
      </c>
      <c r="D8" t="s">
        <v>55</v>
      </c>
      <c r="E8" t="s">
        <v>54</v>
      </c>
      <c r="F8" t="s">
        <v>34</v>
      </c>
      <c r="G8" t="s">
        <v>126</v>
      </c>
      <c r="H8" t="s">
        <v>28</v>
      </c>
      <c r="I8" s="1">
        <f>('RECEITAS - PAN'!H8-'OPEX - PAN'!H8-VLOOKUP('FLUXO DE CAIXA NOM.-S MULT. PAN'!$A8,'CAPEX - PAN S- MULT.'!$A$3:$H$21,8,FALSE))</f>
        <v>-18923120.144183334</v>
      </c>
      <c r="J8" s="1">
        <f>('RECEITAS - PAN'!I8-'OPEX - PAN'!I8-VLOOKUP('FLUXO DE CAIXA NOM.-S MULT. PAN'!$A8,'CAPEX - PAN S- MULT.'!$A$3:$I$21,9,FALSE))</f>
        <v>-18973608.314671487</v>
      </c>
      <c r="K8" s="1">
        <f>('RECEITAS - PAN'!J8-'OPEX - PAN'!J8-VLOOKUP('FLUXO DE CAIXA NOM.-S MULT. PAN'!$A8,'CAPEX - PAN S- MULT.'!$A$3:$J$21,10,FALSE))</f>
        <v>-18909284.465533335</v>
      </c>
      <c r="L8" s="1">
        <f>('RECEITAS - PAN'!K8-'OPEX - PAN'!K8-VLOOKUP('FLUXO DE CAIXA NOM.-S MULT. PAN'!$A8,'CAPEX - PAN S- MULT.'!$A$3:$K$21,11,FALSE))</f>
        <v>-2315681.6439881506</v>
      </c>
      <c r="M8" s="1">
        <f>('RECEITAS - PAN'!L8-'OPEX - PAN'!L8-VLOOKUP('FLUXO DE CAIXA NOM.-S MULT. PAN'!$A8,'CAPEX - PAN S- MULT.'!$A$3:$L$21,12,FALSE))</f>
        <v>-2439051.5866000005</v>
      </c>
      <c r="N8" s="1">
        <f>('RECEITAS - PAN'!M8-'OPEX - PAN'!M8-VLOOKUP('FLUXO DE CAIXA NOM.-S MULT. PAN'!$A8,'CAPEX - PAN S- MULT.'!$A$3:$M$21,13,FALSE))</f>
        <v>-2288620.1678881506</v>
      </c>
      <c r="O8" s="1">
        <f>('RECEITAS - PAN'!N8-'OPEX - PAN'!N8-VLOOKUP('FLUXO DE CAIXA NOM.-S MULT. PAN'!$A8,'CAPEX - PAN S- MULT.'!$A$3:$N$21,14,FALSE))</f>
        <v>-2217848.1146</v>
      </c>
      <c r="P8" s="1">
        <f>('RECEITAS - PAN'!O8-'OPEX - PAN'!O8-VLOOKUP('FLUXO DE CAIXA NOM.-S MULT. PAN'!$A8,'CAPEX - PAN S- MULT.'!$A$3:$O$21,15,FALSE))</f>
        <v>-2457784.0096881506</v>
      </c>
      <c r="Q8" s="1">
        <f>('RECEITAS - PAN'!P8-'OPEX - PAN'!P8-VLOOKUP('FLUXO DE CAIXA NOM.-S MULT. PAN'!$A8,'CAPEX - PAN S- MULT.'!$A$3:$P$21,16,FALSE))</f>
        <v>-2193358.0432000002</v>
      </c>
      <c r="R8" s="1">
        <f>('RECEITAS - PAN'!Q8-'OPEX - PAN'!Q8-VLOOKUP('FLUXO DE CAIXA NOM.-S MULT. PAN'!$A8,'CAPEX - PAN S- MULT.'!$A$3:$Q$21,17,FALSE))</f>
        <v>-12097974.631388148</v>
      </c>
      <c r="S8" s="1">
        <f>('RECEITAS - PAN'!R8-'OPEX - PAN'!R8-VLOOKUP('FLUXO DE CAIXA NOM.-S MULT. PAN'!$A8,'CAPEX - PAN S- MULT.'!$A$3:$R$21,18,FALSE))</f>
        <v>-2168968.5044999998</v>
      </c>
      <c r="T8" s="1">
        <f>('RECEITAS - PAN'!S8-'OPEX - PAN'!S8-VLOOKUP('FLUXO DE CAIXA NOM.-S MULT. PAN'!$A8,'CAPEX - PAN S- MULT.'!$A$3:$S$21,19,FALSE))</f>
        <v>-2213948.9324881504</v>
      </c>
      <c r="U8" s="1">
        <f>('RECEITAS - PAN'!T8-'OPEX - PAN'!T8-VLOOKUP('FLUXO DE CAIXA NOM.-S MULT. PAN'!$A8,'CAPEX - PAN S- MULT.'!$A$3:$T$21,20,FALSE))</f>
        <v>-2143556.4991000001</v>
      </c>
      <c r="V8" s="1">
        <f>('RECEITAS - PAN'!U8-'OPEX - PAN'!U8-VLOOKUP('FLUXO DE CAIXA NOM.-S MULT. PAN'!$A8,'CAPEX - PAN S- MULT.'!$A$3:$U$21,21,FALSE))</f>
        <v>-2188216.12598815</v>
      </c>
      <c r="W8" s="1">
        <f>('RECEITAS - PAN'!V8-'OPEX - PAN'!V8-VLOOKUP('FLUXO DE CAIXA NOM.-S MULT. PAN'!$A8,'CAPEX - PAN S- MULT.'!$A$3:$V$21,22,FALSE))</f>
        <v>-7848087.8546000002</v>
      </c>
      <c r="X8" s="1">
        <f>('RECEITAS - PAN'!W8-'OPEX - PAN'!W8-VLOOKUP('FLUXO DE CAIXA NOM.-S MULT. PAN'!$A8,'CAPEX - PAN S- MULT.'!$A$3:$W$21,23,FALSE))</f>
        <v>-2161161.2103881501</v>
      </c>
      <c r="Y8" s="1">
        <f>('RECEITAS - PAN'!X8-'OPEX - PAN'!X8-VLOOKUP('FLUXO DE CAIXA NOM.-S MULT. PAN'!$A8,'CAPEX - PAN S- MULT.'!$A$3:$X$21,24,FALSE))</f>
        <v>-2089385.8758</v>
      </c>
      <c r="Z8" s="1">
        <f>('RECEITAS - PAN'!Y8-'OPEX - PAN'!Y8-VLOOKUP('FLUXO DE CAIXA NOM.-S MULT. PAN'!$A8,'CAPEX - PAN S- MULT.'!$A$3:$Y$21,25,FALSE))</f>
        <v>-2327401.1430881503</v>
      </c>
      <c r="AA8" s="1">
        <f>('RECEITAS - PAN'!Z8-'OPEX - PAN'!Z8-VLOOKUP('FLUXO DE CAIXA NOM.-S MULT. PAN'!$A8,'CAPEX - PAN S- MULT.'!$A$3:$Z$21,26,FALSE))</f>
        <v>-2060584.4070000001</v>
      </c>
      <c r="AB8" s="1">
        <f>('RECEITAS - PAN'!AA8-'OPEX - PAN'!AA8-VLOOKUP('FLUXO DE CAIXA NOM.-S MULT. PAN'!$A8,'CAPEX - PAN S- MULT.'!$A$3:$AA$21,27,FALSE))</f>
        <v>-11962570.771488149</v>
      </c>
      <c r="AC8" s="1">
        <f>('RECEITAS - PAN'!AB8-'OPEX - PAN'!AB8-VLOOKUP('FLUXO DE CAIXA NOM.-S MULT. PAN'!$A8,'CAPEX - PAN S- MULT.'!$A$3:$AB$21,28,FALSE))</f>
        <v>-2031136.7485999998</v>
      </c>
      <c r="AD8" s="1">
        <f>('RECEITAS - PAN'!AC8-'OPEX - PAN'!AC8-VLOOKUP('FLUXO DE CAIXA NOM.-S MULT. PAN'!$A8,'CAPEX - PAN S- MULT.'!$A$3:$AC$21,29,FALSE))</f>
        <v>-2073745.5922881502</v>
      </c>
      <c r="AE8" s="1">
        <f>('RECEITAS - PAN'!AD8-'OPEX - PAN'!AD8-VLOOKUP('FLUXO DE CAIXA NOM.-S MULT. PAN'!$A8,'CAPEX - PAN S- MULT.'!$A$3:$AD$21,30,FALSE))</f>
        <v>-2001048.3238000001</v>
      </c>
      <c r="AF8" s="1">
        <f>('RECEITAS - PAN'!AE8-'OPEX - PAN'!AE8-VLOOKUP('FLUXO DE CAIXA NOM.-S MULT. PAN'!$A8,'CAPEX - PAN S- MULT.'!$A$3:$AE$21,31,FALSE))</f>
        <v>-2043592.9254881502</v>
      </c>
      <c r="AG8" s="1">
        <f>('RECEITAS - PAN'!AF8-'OPEX - PAN'!AF8-VLOOKUP('FLUXO DE CAIXA NOM.-S MULT. PAN'!$A8,'CAPEX - PAN S- MULT.'!$A$3:$AF$21,32,FALSE))</f>
        <v>-2165439.801</v>
      </c>
      <c r="AH8" s="1">
        <f>('RECEITAS - PAN'!AG8-'OPEX - PAN'!AG8-VLOOKUP('FLUXO DE CAIXA NOM.-S MULT. PAN'!$A8,'CAPEX - PAN S- MULT.'!$A$3:$AG$21,33,FALSE))</f>
        <v>-2013272.9769881503</v>
      </c>
      <c r="AI8" s="1">
        <f>('RECEITAS - PAN'!AH8-'OPEX - PAN'!AH8-VLOOKUP('FLUXO DE CAIXA NOM.-S MULT. PAN'!$A8,'CAPEX - PAN S- MULT.'!$A$3:$AH$21,34,FALSE))</f>
        <v>-1939897.8159000003</v>
      </c>
      <c r="AJ8" s="1">
        <f>('RECEITAS - PAN'!AI8-'OPEX - PAN'!AI8-VLOOKUP('FLUXO DE CAIXA NOM.-S MULT. PAN'!$A8,'CAPEX - PAN S- MULT.'!$A$3:$AI$21,35,FALSE))</f>
        <v>-2176051.9825881501</v>
      </c>
      <c r="AK8" s="1">
        <f>VLOOKUP($A8,'RECEITAS - PAN'!$A$3:$AJ$21,36,FALSE)-VLOOKUP($A8,'OPEX - PAN'!$A$3:$AJ$21,36,FALSE)-VLOOKUP('FLUXO DE CAIXA NOM.-S MULT. PAN'!$A8,'CAPEX - PAN S- MULT.'!$A$3:$AJ$21,36,FALSE)</f>
        <v>-1919075.4316992052</v>
      </c>
      <c r="AL8" s="1">
        <f>VLOOKUP($A8,'RECEITAS - PAN'!$A$3:$AK$21,37,FALSE)-VLOOKUP($A8,'OPEX - PAN'!$A$3:$AK$21,37,FALSE)-VLOOKUP('FLUXO DE CAIXA NOM.-S MULT. PAN'!$A8,'CAPEX - PAN S- MULT.'!$A$3:$AK$21,37,FALSE)</f>
        <v>-1963038.2518269252</v>
      </c>
      <c r="AM8" s="12">
        <f t="shared" si="0"/>
        <v>-140306512.29636022</v>
      </c>
      <c r="AN8">
        <v>0</v>
      </c>
      <c r="AO8">
        <v>-9.4</v>
      </c>
      <c r="AP8">
        <v>-38.25</v>
      </c>
      <c r="AQ8" s="16">
        <f>VLOOKUP(A8,'Projeção - Demanda PAX'!$A$3:E$22,5,FALSE)</f>
        <v>7887</v>
      </c>
      <c r="AR8" s="16">
        <f>VLOOKUP(A8,'Projeção - Demanda PAX'!$A$3:$AG$22,33,FALSE)</f>
        <v>22552</v>
      </c>
      <c r="AS8" s="1">
        <f t="shared" si="1"/>
        <v>-99379109.038417041</v>
      </c>
      <c r="AT8" s="3">
        <f>VLOOKUP(A8,'BASE PAN - CAPEX'!$A$3:$H$22,8,FALSE)</f>
        <v>3</v>
      </c>
    </row>
    <row r="9" spans="1:46" x14ac:dyDescent="0.25">
      <c r="A9" t="s">
        <v>56</v>
      </c>
      <c r="B9" t="s">
        <v>96</v>
      </c>
      <c r="C9">
        <v>110030</v>
      </c>
      <c r="D9" t="s">
        <v>58</v>
      </c>
      <c r="E9" t="s">
        <v>57</v>
      </c>
      <c r="F9" t="s">
        <v>25</v>
      </c>
      <c r="G9" t="s">
        <v>127</v>
      </c>
      <c r="H9" t="s">
        <v>28</v>
      </c>
      <c r="I9" s="1">
        <f>('RECEITAS - PAN'!H9-'OPEX - PAN'!H9-VLOOKUP('FLUXO DE CAIXA NOM.-S MULT. PAN'!$A9,'CAPEX - PAN S- MULT.'!$A$3:$H$21,8,FALSE))</f>
        <v>-26194146.296599999</v>
      </c>
      <c r="J9" s="1">
        <f>('RECEITAS - PAN'!I9-'OPEX - PAN'!I9-VLOOKUP('FLUXO DE CAIXA NOM.-S MULT. PAN'!$A9,'CAPEX - PAN S- MULT.'!$A$3:$I$21,9,FALSE))</f>
        <v>-8705334.5990310051</v>
      </c>
      <c r="K9" s="1">
        <f>('RECEITAS - PAN'!J9-'OPEX - PAN'!J9-VLOOKUP('FLUXO DE CAIXA NOM.-S MULT. PAN'!$A9,'CAPEX - PAN S- MULT.'!$A$3:$J$21,10,FALSE))</f>
        <v>-8604573.2451499999</v>
      </c>
      <c r="L9" s="1">
        <f>('RECEITAS - PAN'!K9-'OPEX - PAN'!K9-VLOOKUP('FLUXO DE CAIXA NOM.-S MULT. PAN'!$A9,'CAPEX - PAN S- MULT.'!$A$3:$K$21,11,FALSE))</f>
        <v>-3597126.2054310059</v>
      </c>
      <c r="M9" s="1">
        <f>('RECEITAS - PAN'!L9-'OPEX - PAN'!L9-VLOOKUP('FLUXO DE CAIXA NOM.-S MULT. PAN'!$A9,'CAPEX - PAN S- MULT.'!$A$3:$L$21,12,FALSE))</f>
        <v>-3708017.1589000002</v>
      </c>
      <c r="N9" s="1">
        <f>('RECEITAS - PAN'!M9-'OPEX - PAN'!M9-VLOOKUP('FLUXO DE CAIXA NOM.-S MULT. PAN'!$A9,'CAPEX - PAN S- MULT.'!$A$3:$M$21,13,FALSE))</f>
        <v>-3538481.4903310053</v>
      </c>
      <c r="O9" s="1">
        <f>('RECEITAS - PAN'!N9-'OPEX - PAN'!N9-VLOOKUP('FLUXO DE CAIXA NOM.-S MULT. PAN'!$A9,'CAPEX - PAN S- MULT.'!$A$3:$N$21,14,FALSE))</f>
        <v>-3425611.1266999999</v>
      </c>
      <c r="P9" s="1">
        <f>('RECEITAS - PAN'!O9-'OPEX - PAN'!O9-VLOOKUP('FLUXO DE CAIXA NOM.-S MULT. PAN'!$A9,'CAPEX - PAN S- MULT.'!$A$3:$O$21,15,FALSE))</f>
        <v>-3712523.9803310055</v>
      </c>
      <c r="Q9" s="1">
        <f>('RECEITAS - PAN'!P9-'OPEX - PAN'!P9-VLOOKUP('FLUXO DE CAIXA NOM.-S MULT. PAN'!$A9,'CAPEX - PAN S- MULT.'!$A$3:$P$21,16,FALSE))</f>
        <v>-3376297.6651999997</v>
      </c>
      <c r="R9" s="1">
        <f>('RECEITAS - PAN'!Q9-'OPEX - PAN'!Q9-VLOOKUP('FLUXO DE CAIXA NOM.-S MULT. PAN'!$A9,'CAPEX - PAN S- MULT.'!$A$3:$Q$21,17,FALSE))</f>
        <v>-14540196.854131008</v>
      </c>
      <c r="S9" s="1">
        <f>('RECEITAS - PAN'!R9-'OPEX - PAN'!R9-VLOOKUP('FLUXO DE CAIXA NOM.-S MULT. PAN'!$A9,'CAPEX - PAN S- MULT.'!$A$3:$R$21,18,FALSE))</f>
        <v>-3328569.4325999995</v>
      </c>
      <c r="T9" s="1">
        <f>('RECEITAS - PAN'!S9-'OPEX - PAN'!S9-VLOOKUP('FLUXO DE CAIXA NOM.-S MULT. PAN'!$A9,'CAPEX - PAN S- MULT.'!$A$3:$S$21,19,FALSE))</f>
        <v>-3389725.5545310052</v>
      </c>
      <c r="U9" s="1">
        <f>('RECEITAS - PAN'!T9-'OPEX - PAN'!T9-VLOOKUP('FLUXO DE CAIXA NOM.-S MULT. PAN'!$A9,'CAPEX - PAN S- MULT.'!$A$3:$T$21,20,FALSE))</f>
        <v>-3279729.4557999996</v>
      </c>
      <c r="V9" s="1">
        <f>('RECEITAS - PAN'!U9-'OPEX - PAN'!U9-VLOOKUP('FLUXO DE CAIXA NOM.-S MULT. PAN'!$A9,'CAPEX - PAN S- MULT.'!$A$3:$U$21,21,FALSE))</f>
        <v>-3340641.5364310062</v>
      </c>
      <c r="W9" s="1">
        <f>('RECEITAS - PAN'!V9-'OPEX - PAN'!V9-VLOOKUP('FLUXO DE CAIXA NOM.-S MULT. PAN'!$A9,'CAPEX - PAN S- MULT.'!$A$3:$V$21,22,FALSE))</f>
        <v>-10551767.818700001</v>
      </c>
      <c r="X9" s="1">
        <f>('RECEITAS - PAN'!W9-'OPEX - PAN'!W9-VLOOKUP('FLUXO DE CAIXA NOM.-S MULT. PAN'!$A9,'CAPEX - PAN S- MULT.'!$A$3:$W$21,23,FALSE))</f>
        <v>-3290119.0159310056</v>
      </c>
      <c r="Y9" s="1">
        <f>('RECEITAS - PAN'!X9-'OPEX - PAN'!X9-VLOOKUP('FLUXO DE CAIXA NOM.-S MULT. PAN'!$A9,'CAPEX - PAN S- MULT.'!$A$3:$X$21,24,FALSE))</f>
        <v>-3178072.0068999999</v>
      </c>
      <c r="Z9" s="1">
        <f>('RECEITAS - PAN'!Y9-'OPEX - PAN'!Y9-VLOOKUP('FLUXO DE CAIXA NOM.-S MULT. PAN'!$A9,'CAPEX - PAN S- MULT.'!$A$3:$Y$21,25,FALSE))</f>
        <v>-3463656.1907310053</v>
      </c>
      <c r="AA9" s="1">
        <f>('RECEITAS - PAN'!Z9-'OPEX - PAN'!Z9-VLOOKUP('FLUXO DE CAIXA NOM.-S MULT. PAN'!$A9,'CAPEX - PAN S- MULT.'!$A$3:$Z$21,26,FALSE))</f>
        <v>-3125327.3682000004</v>
      </c>
      <c r="AB9" s="1">
        <f>('RECEITAS - PAN'!AA9-'OPEX - PAN'!AA9-VLOOKUP('FLUXO DE CAIXA NOM.-S MULT. PAN'!$A9,'CAPEX - PAN S- MULT.'!$A$3:$AA$21,27,FALSE))</f>
        <v>-14286556.700031009</v>
      </c>
      <c r="AC9" s="1">
        <f>('RECEITAS - PAN'!AB9-'OPEX - PAN'!AB9-VLOOKUP('FLUXO DE CAIXA NOM.-S MULT. PAN'!$A9,'CAPEX - PAN S- MULT.'!$A$3:$AB$21,28,FALSE))</f>
        <v>-3072299.0547999996</v>
      </c>
      <c r="AD9" s="1">
        <f>('RECEITAS - PAN'!AC9-'OPEX - PAN'!AC9-VLOOKUP('FLUXO DE CAIXA NOM.-S MULT. PAN'!$A9,'CAPEX - PAN S- MULT.'!$A$3:$AC$21,29,FALSE))</f>
        <v>-3132351.3575310055</v>
      </c>
      <c r="AE9" s="1">
        <f>('RECEITAS - PAN'!AD9-'OPEX - PAN'!AD9-VLOOKUP('FLUXO DE CAIXA NOM.-S MULT. PAN'!$A9,'CAPEX - PAN S- MULT.'!$A$3:$AD$21,30,FALSE))</f>
        <v>-3022056.9860999999</v>
      </c>
      <c r="AF9" s="1">
        <f>('RECEITAS - PAN'!AE9-'OPEX - PAN'!AE9-VLOOKUP('FLUXO DE CAIXA NOM.-S MULT. PAN'!$A9,'CAPEX - PAN S- MULT.'!$A$3:$AE$21,31,FALSE))</f>
        <v>-3083213.1080310056</v>
      </c>
      <c r="AG9" s="1">
        <f>('RECEITAS - PAN'!AF9-'OPEX - PAN'!AF9-VLOOKUP('FLUXO DE CAIXA NOM.-S MULT. PAN'!$A9,'CAPEX - PAN S- MULT.'!$A$3:$AF$21,32,FALSE))</f>
        <v>-3200193.947900001</v>
      </c>
      <c r="AH9" s="1">
        <f>('RECEITAS - PAN'!AG9-'OPEX - PAN'!AG9-VLOOKUP('FLUXO DE CAIXA NOM.-S MULT. PAN'!$A9,'CAPEX - PAN S- MULT.'!$A$3:$AG$21,33,FALSE))</f>
        <v>-3035526.5889310054</v>
      </c>
      <c r="AI9" s="1">
        <f>('RECEITAS - PAN'!AH9-'OPEX - PAN'!AH9-VLOOKUP('FLUXO DE CAIXA NOM.-S MULT. PAN'!$A9,'CAPEX - PAN S- MULT.'!$A$3:$AH$21,34,FALSE))</f>
        <v>-2925460.2911</v>
      </c>
      <c r="AJ9" s="1">
        <f>('RECEITAS - PAN'!AI9-'OPEX - PAN'!AI9-VLOOKUP('FLUXO DE CAIXA NOM.-S MULT. PAN'!$A9,'CAPEX - PAN S- MULT.'!$A$3:$AI$21,35,FALSE))</f>
        <v>-3212888.3430310055</v>
      </c>
      <c r="AK9" s="1">
        <f>VLOOKUP($A9,'RECEITAS - PAN'!$A$3:$AJ$21,36,FALSE)-VLOOKUP($A9,'OPEX - PAN'!$A$3:$AJ$21,36,FALSE)-VLOOKUP('FLUXO DE CAIXA NOM.-S MULT. PAN'!$A9,'CAPEX - PAN S- MULT.'!$A$3:$AJ$21,36,FALSE)</f>
        <v>-2868455.7852817513</v>
      </c>
      <c r="AL9" s="1">
        <f>VLOOKUP($A9,'RECEITAS - PAN'!$A$3:$AK$21,37,FALSE)-VLOOKUP($A9,'OPEX - PAN'!$A$3:$AK$21,37,FALSE)-VLOOKUP('FLUXO DE CAIXA NOM.-S MULT. PAN'!$A9,'CAPEX - PAN S- MULT.'!$A$3:$AK$21,37,FALSE)</f>
        <v>-2930305.5504426798</v>
      </c>
      <c r="AM9" s="12">
        <f t="shared" si="0"/>
        <v>-161119224.71480849</v>
      </c>
      <c r="AN9">
        <v>1</v>
      </c>
      <c r="AO9">
        <v>-12.683333333333334</v>
      </c>
      <c r="AP9">
        <v>-60.083333333333336</v>
      </c>
      <c r="AQ9" s="16">
        <f>VLOOKUP(A9,'Projeção - Demanda PAX'!$A$3:E$22,5,FALSE)</f>
        <v>19650</v>
      </c>
      <c r="AR9" s="16">
        <f>VLOOKUP(A9,'Projeção - Demanda PAX'!$A$3:$AG$22,33,FALSE)</f>
        <v>47648</v>
      </c>
      <c r="AS9" s="1">
        <f t="shared" si="1"/>
        <v>-103292742.41986704</v>
      </c>
      <c r="AT9" s="3">
        <f>VLOOKUP(A9,'BASE PAN - CAPEX'!$A$3:$H$22,8,FALSE)</f>
        <v>3</v>
      </c>
    </row>
    <row r="10" spans="1:46" x14ac:dyDescent="0.25">
      <c r="A10" t="s">
        <v>63</v>
      </c>
      <c r="B10" t="s">
        <v>66</v>
      </c>
      <c r="C10">
        <v>291170</v>
      </c>
      <c r="D10" t="s">
        <v>65</v>
      </c>
      <c r="E10" t="s">
        <v>66</v>
      </c>
      <c r="F10" t="s">
        <v>34</v>
      </c>
      <c r="G10" t="s">
        <v>126</v>
      </c>
      <c r="H10" t="s">
        <v>28</v>
      </c>
      <c r="I10" s="1">
        <f>('RECEITAS - PAN'!H10-'OPEX - PAN'!H10-VLOOKUP('FLUXO DE CAIXA NOM.-S MULT. PAN'!$A10,'CAPEX - PAN S- MULT.'!$A$3:$H$21,8,FALSE))</f>
        <v>-14912758.546116667</v>
      </c>
      <c r="J10" s="1">
        <f>('RECEITAS - PAN'!I10-'OPEX - PAN'!I10-VLOOKUP('FLUXO DE CAIXA NOM.-S MULT. PAN'!$A10,'CAPEX - PAN S- MULT.'!$A$3:$I$21,9,FALSE))</f>
        <v>-14087870.268721649</v>
      </c>
      <c r="K10" s="1">
        <f>('RECEITAS - PAN'!J10-'OPEX - PAN'!J10-VLOOKUP('FLUXO DE CAIXA NOM.-S MULT. PAN'!$A10,'CAPEX - PAN S- MULT.'!$A$3:$J$21,10,FALSE))</f>
        <v>-14014591.262766667</v>
      </c>
      <c r="L10" s="1">
        <f>('RECEITAS - PAN'!K10-'OPEX - PAN'!K10-VLOOKUP('FLUXO DE CAIXA NOM.-S MULT. PAN'!$A10,'CAPEX - PAN S- MULT.'!$A$3:$K$21,11,FALSE))</f>
        <v>-642732.94870498253</v>
      </c>
      <c r="M10" s="1">
        <f>('RECEITAS - PAN'!L10-'OPEX - PAN'!L10-VLOOKUP('FLUXO DE CAIXA NOM.-S MULT. PAN'!$A10,'CAPEX - PAN S- MULT.'!$A$3:$L$21,12,FALSE))</f>
        <v>-754901.12380000018</v>
      </c>
      <c r="N10" s="1">
        <f>('RECEITAS - PAN'!M10-'OPEX - PAN'!M10-VLOOKUP('FLUXO DE CAIXA NOM.-S MULT. PAN'!$A10,'CAPEX - PAN S- MULT.'!$A$3:$M$21,13,FALSE))</f>
        <v>-598647.89180498256</v>
      </c>
      <c r="O10" s="1">
        <f>('RECEITAS - PAN'!N10-'OPEX - PAN'!N10-VLOOKUP('FLUXO DE CAIXA NOM.-S MULT. PAN'!$A10,'CAPEX - PAN S- MULT.'!$A$3:$N$21,14,FALSE))</f>
        <v>-513261.72680000006</v>
      </c>
      <c r="P10" s="1">
        <f>('RECEITAS - PAN'!O10-'OPEX - PAN'!O10-VLOOKUP('FLUXO DE CAIXA NOM.-S MULT. PAN'!$A10,'CAPEX - PAN S- MULT.'!$A$3:$O$21,15,FALSE))</f>
        <v>-752132.17310498271</v>
      </c>
      <c r="Q10" s="1">
        <f>('RECEITAS - PAN'!P10-'OPEX - PAN'!P10-VLOOKUP('FLUXO DE CAIXA NOM.-S MULT. PAN'!$A10,'CAPEX - PAN S- MULT.'!$A$3:$P$21,16,FALSE))</f>
        <v>-469191.66809999989</v>
      </c>
      <c r="R10" s="1">
        <f>('RECEITAS - PAN'!Q10-'OPEX - PAN'!Q10-VLOOKUP('FLUXO DE CAIXA NOM.-S MULT. PAN'!$A10,'CAPEX - PAN S- MULT.'!$A$3:$Q$21,17,FALSE))</f>
        <v>-7354801.1644049818</v>
      </c>
      <c r="S10" s="1">
        <f>('RECEITAS - PAN'!R10-'OPEX - PAN'!R10-VLOOKUP('FLUXO DE CAIXA NOM.-S MULT. PAN'!$A10,'CAPEX - PAN S- MULT.'!$A$3:$R$21,18,FALSE))</f>
        <v>-425121.60960000008</v>
      </c>
      <c r="T10" s="1">
        <f>('RECEITAS - PAN'!S10-'OPEX - PAN'!S10-VLOOKUP('FLUXO DE CAIXA NOM.-S MULT. PAN'!$A10,'CAPEX - PAN S- MULT.'!$A$3:$S$21,19,FALSE))</f>
        <v>-466422.71740498272</v>
      </c>
      <c r="U10" s="1">
        <f>('RECEITAS - PAN'!T10-'OPEX - PAN'!T10-VLOOKUP('FLUXO DE CAIXA NOM.-S MULT. PAN'!$A10,'CAPEX - PAN S- MULT.'!$A$3:$T$21,20,FALSE))</f>
        <v>-381036.55249999999</v>
      </c>
      <c r="V10" s="1">
        <f>('RECEITAS - PAN'!U10-'OPEX - PAN'!U10-VLOOKUP('FLUXO DE CAIXA NOM.-S MULT. PAN'!$A10,'CAPEX - PAN S- MULT.'!$A$3:$U$21,21,FALSE))</f>
        <v>-422352.65870498255</v>
      </c>
      <c r="W10" s="1">
        <f>('RECEITAS - PAN'!V10-'OPEX - PAN'!V10-VLOOKUP('FLUXO DE CAIXA NOM.-S MULT. PAN'!$A10,'CAPEX - PAN S- MULT.'!$A$3:$V$21,22,FALSE))</f>
        <v>-6070799.1338999998</v>
      </c>
      <c r="X10" s="1">
        <f>('RECEITAS - PAN'!W10-'OPEX - PAN'!W10-VLOOKUP('FLUXO DE CAIXA NOM.-S MULT. PAN'!$A10,'CAPEX - PAN S- MULT.'!$A$3:$W$21,23,FALSE))</f>
        <v>-378282.60010498267</v>
      </c>
      <c r="Y10" s="1">
        <f>('RECEITAS - PAN'!X10-'OPEX - PAN'!X10-VLOOKUP('FLUXO DE CAIXA NOM.-S MULT. PAN'!$A10,'CAPEX - PAN S- MULT.'!$A$3:$X$21,24,FALSE))</f>
        <v>-292896.43520000018</v>
      </c>
      <c r="Z10" s="1">
        <f>('RECEITAS - PAN'!Y10-'OPEX - PAN'!Y10-VLOOKUP('FLUXO DE CAIXA NOM.-S MULT. PAN'!$A10,'CAPEX - PAN S- MULT.'!$A$3:$Y$21,25,FALSE))</f>
        <v>-531751.88320498273</v>
      </c>
      <c r="AA10" s="1">
        <f>('RECEITAS - PAN'!Z10-'OPEX - PAN'!Z10-VLOOKUP('FLUXO DE CAIXA NOM.-S MULT. PAN'!$A10,'CAPEX - PAN S- MULT.'!$A$3:$Z$21,26,FALSE))</f>
        <v>-248811.37820000015</v>
      </c>
      <c r="AB10" s="1">
        <f>('RECEITAS - PAN'!AA10-'OPEX - PAN'!AA10-VLOOKUP('FLUXO DE CAIXA NOM.-S MULT. PAN'!$A10,'CAPEX - PAN S- MULT.'!$A$3:$AA$21,27,FALSE))</f>
        <v>-7134420.8745049816</v>
      </c>
      <c r="AC10" s="1">
        <f>('RECEITAS - PAN'!AB10-'OPEX - PAN'!AB10-VLOOKUP('FLUXO DE CAIXA NOM.-S MULT. PAN'!$A10,'CAPEX - PAN S- MULT.'!$A$3:$AB$21,28,FALSE))</f>
        <v>-204741.31949999998</v>
      </c>
      <c r="AD10" s="1">
        <f>('RECEITAS - PAN'!AC10-'OPEX - PAN'!AC10-VLOOKUP('FLUXO DE CAIXA NOM.-S MULT. PAN'!$A10,'CAPEX - PAN S- MULT.'!$A$3:$AC$21,29,FALSE))</f>
        <v>-246057.42580498283</v>
      </c>
      <c r="AE10" s="1">
        <f>('RECEITAS - PAN'!AD10-'OPEX - PAN'!AD10-VLOOKUP('FLUXO DE CAIXA NOM.-S MULT. PAN'!$A10,'CAPEX - PAN S- MULT.'!$A$3:$AD$21,30,FALSE))</f>
        <v>-160671.26079999981</v>
      </c>
      <c r="AF10" s="1">
        <f>('RECEITAS - PAN'!AE10-'OPEX - PAN'!AE10-VLOOKUP('FLUXO DE CAIXA NOM.-S MULT. PAN'!$A10,'CAPEX - PAN S- MULT.'!$A$3:$AE$21,31,FALSE))</f>
        <v>-201972.36880498281</v>
      </c>
      <c r="AG10" s="1">
        <f>('RECEITAS - PAN'!AF10-'OPEX - PAN'!AF10-VLOOKUP('FLUXO DE CAIXA NOM.-S MULT. PAN'!$A10,'CAPEX - PAN S- MULT.'!$A$3:$AF$21,32,FALSE))</f>
        <v>-314140.54389999987</v>
      </c>
      <c r="AH10" s="1">
        <f>('RECEITAS - PAN'!AG10-'OPEX - PAN'!AG10-VLOOKUP('FLUXO DE CAIXA NOM.-S MULT. PAN'!$A10,'CAPEX - PAN S- MULT.'!$A$3:$AG$21,33,FALSE))</f>
        <v>-157902.31010498264</v>
      </c>
      <c r="AI10" s="1">
        <f>('RECEITAS - PAN'!AH10-'OPEX - PAN'!AH10-VLOOKUP('FLUXO DE CAIXA NOM.-S MULT. PAN'!$A10,'CAPEX - PAN S- MULT.'!$A$3:$AH$21,34,FALSE))</f>
        <v>-72516.145200000145</v>
      </c>
      <c r="AJ10" s="1">
        <f>('RECEITAS - PAN'!AI10-'OPEX - PAN'!AI10-VLOOKUP('FLUXO DE CAIXA NOM.-S MULT. PAN'!$A10,'CAPEX - PAN S- MULT.'!$A$3:$AI$21,35,FALSE))</f>
        <v>-311386.59150498279</v>
      </c>
      <c r="AK10" s="1">
        <f>VLOOKUP($A10,'RECEITAS - PAN'!$A$3:$AJ$21,36,FALSE)-VLOOKUP($A10,'OPEX - PAN'!$A$3:$AJ$21,36,FALSE)-VLOOKUP('FLUXO DE CAIXA NOM.-S MULT. PAN'!$A10,'CAPEX - PAN S- MULT.'!$A$3:$AJ$21,36,FALSE)</f>
        <v>-27915.134169840254</v>
      </c>
      <c r="AL10" s="1">
        <f>VLOOKUP($A10,'RECEITAS - PAN'!$A$3:$AK$21,37,FALSE)-VLOOKUP($A10,'OPEX - PAN'!$A$3:$AK$21,37,FALSE)-VLOOKUP('FLUXO DE CAIXA NOM.-S MULT. PAN'!$A10,'CAPEX - PAN S- MULT.'!$A$3:$AK$21,37,FALSE)</f>
        <v>-69678.48621574782</v>
      </c>
      <c r="AM10" s="12">
        <f t="shared" si="0"/>
        <v>-72219766.203655332</v>
      </c>
      <c r="AN10">
        <v>0</v>
      </c>
      <c r="AO10">
        <v>-14.2</v>
      </c>
      <c r="AP10">
        <v>-42.733333333333334</v>
      </c>
      <c r="AQ10" s="16">
        <f>VLOOKUP(A10,'Projeção - Demanda PAX'!$A$3:E$22,5,FALSE)</f>
        <v>31016</v>
      </c>
      <c r="AR10" s="16">
        <f>VLOOKUP(A10,'Projeção - Demanda PAX'!$A$3:$AG$22,33,FALSE)</f>
        <v>57124.5</v>
      </c>
      <c r="AS10" s="1">
        <f t="shared" si="1"/>
        <v>-61866621.446434878</v>
      </c>
      <c r="AT10" s="3">
        <f>VLOOKUP(A10,'BASE PAN - CAPEX'!$A$3:$H$22,8,FALSE)</f>
        <v>3</v>
      </c>
    </row>
    <row r="11" spans="1:46" x14ac:dyDescent="0.25">
      <c r="A11" t="s">
        <v>67</v>
      </c>
      <c r="B11" t="s">
        <v>98</v>
      </c>
      <c r="C11">
        <v>261390</v>
      </c>
      <c r="D11" t="s">
        <v>69</v>
      </c>
      <c r="E11" t="s">
        <v>70</v>
      </c>
      <c r="F11" t="s">
        <v>31</v>
      </c>
      <c r="G11" t="s">
        <v>126</v>
      </c>
      <c r="H11" t="s">
        <v>28</v>
      </c>
      <c r="I11" s="1">
        <f>('RECEITAS - PAN'!H11-'OPEX - PAN'!H11-VLOOKUP('FLUXO DE CAIXA NOM.-S MULT. PAN'!$A11,'CAPEX - PAN S- MULT.'!$A$3:$H$21,8,FALSE))</f>
        <v>-6082359.7709833337</v>
      </c>
      <c r="J11" s="1">
        <f>('RECEITAS - PAN'!I11-'OPEX - PAN'!I11-VLOOKUP('FLUXO DE CAIXA NOM.-S MULT. PAN'!$A11,'CAPEX - PAN S- MULT.'!$A$3:$I$21,9,FALSE))</f>
        <v>-5203711.4579333337</v>
      </c>
      <c r="K11" s="1">
        <f>('RECEITAS - PAN'!J11-'OPEX - PAN'!J11-VLOOKUP('FLUXO DE CAIXA NOM.-S MULT. PAN'!$A11,'CAPEX - PAN S- MULT.'!$A$3:$J$21,10,FALSE))</f>
        <v>-5200608.9452333339</v>
      </c>
      <c r="L11" s="1">
        <f>('RECEITAS - PAN'!K11-'OPEX - PAN'!K11-VLOOKUP('FLUXO DE CAIXA NOM.-S MULT. PAN'!$A11,'CAPEX - PAN S- MULT.'!$A$3:$K$21,11,FALSE))</f>
        <v>-889797.35769999993</v>
      </c>
      <c r="M11" s="1">
        <f>('RECEITAS - PAN'!L11-'OPEX - PAN'!L11-VLOOKUP('FLUXO DE CAIXA NOM.-S MULT. PAN'!$A11,'CAPEX - PAN S- MULT.'!$A$3:$L$21,12,FALSE))</f>
        <v>-1057136.5183000001</v>
      </c>
      <c r="N11" s="1">
        <f>('RECEITAS - PAN'!M11-'OPEX - PAN'!M11-VLOOKUP('FLUXO DE CAIXA NOM.-S MULT. PAN'!$A11,'CAPEX - PAN S- MULT.'!$A$3:$M$21,13,FALSE))</f>
        <v>-877896.00430000015</v>
      </c>
      <c r="O11" s="1">
        <f>('RECEITAS - PAN'!N11-'OPEX - PAN'!N11-VLOOKUP('FLUXO DE CAIXA NOM.-S MULT. PAN'!$A11,'CAPEX - PAN S- MULT.'!$A$3:$N$21,14,FALSE))</f>
        <v>-872365.22179999994</v>
      </c>
      <c r="P11" s="1">
        <f>('RECEITAS - PAN'!O11-'OPEX - PAN'!O11-VLOOKUP('FLUXO DE CAIXA NOM.-S MULT. PAN'!$A11,'CAPEX - PAN S- MULT.'!$A$3:$O$21,15,FALSE))</f>
        <v>-1040569.9457</v>
      </c>
      <c r="Q11" s="1">
        <f>('RECEITAS - PAN'!P11-'OPEX - PAN'!P11-VLOOKUP('FLUXO DE CAIXA NOM.-S MULT. PAN'!$A11,'CAPEX - PAN S- MULT.'!$A$3:$P$21,16,FALSE))</f>
        <v>-862463.51809999999</v>
      </c>
      <c r="R11" s="1">
        <f>('RECEITAS - PAN'!Q11-'OPEX - PAN'!Q11-VLOOKUP('FLUXO DE CAIXA NOM.-S MULT. PAN'!$A11,'CAPEX - PAN S- MULT.'!$A$3:$Q$21,17,FALSE))</f>
        <v>-7293795.7220999999</v>
      </c>
      <c r="S11" s="1">
        <f>('RECEITAS - PAN'!R11-'OPEX - PAN'!R11-VLOOKUP('FLUXO DE CAIXA NOM.-S MULT. PAN'!$A11,'CAPEX - PAN S- MULT.'!$A$3:$R$21,18,FALSE))</f>
        <v>-853062.30989999999</v>
      </c>
      <c r="T11" s="1">
        <f>('RECEITAS - PAN'!S11-'OPEX - PAN'!S11-VLOOKUP('FLUXO DE CAIXA NOM.-S MULT. PAN'!$A11,'CAPEX - PAN S- MULT.'!$A$3:$S$21,19,FALSE))</f>
        <v>-848253.21870000008</v>
      </c>
      <c r="U11" s="1">
        <f>('RECEITAS - PAN'!T11-'OPEX - PAN'!T11-VLOOKUP('FLUXO DE CAIXA NOM.-S MULT. PAN'!$A11,'CAPEX - PAN S- MULT.'!$A$3:$T$21,20,FALSE))</f>
        <v>-843573.00120000006</v>
      </c>
      <c r="V11" s="1">
        <f>('RECEITAS - PAN'!U11-'OPEX - PAN'!U11-VLOOKUP('FLUXO DE CAIXA NOM.-S MULT. PAN'!$A11,'CAPEX - PAN S- MULT.'!$A$3:$U$21,21,FALSE))</f>
        <v>-838841.23419999995</v>
      </c>
      <c r="W11" s="1">
        <f>('RECEITAS - PAN'!V11-'OPEX - PAN'!V11-VLOOKUP('FLUXO DE CAIXA NOM.-S MULT. PAN'!$A11,'CAPEX - PAN S- MULT.'!$A$3:$V$21,22,FALSE))</f>
        <v>-6636372.0832000002</v>
      </c>
      <c r="X11" s="1">
        <f>('RECEITAS - PAN'!W11-'OPEX - PAN'!W11-VLOOKUP('FLUXO DE CAIXA NOM.-S MULT. PAN'!$A11,'CAPEX - PAN S- MULT.'!$A$3:$W$21,23,FALSE))</f>
        <v>-829171.50270000007</v>
      </c>
      <c r="Y11" s="1">
        <f>('RECEITAS - PAN'!X11-'OPEX - PAN'!X11-VLOOKUP('FLUXO DE CAIXA NOM.-S MULT. PAN'!$A11,'CAPEX - PAN S- MULT.'!$A$3:$X$21,24,FALSE))</f>
        <v>-824465.51040000003</v>
      </c>
      <c r="Z11" s="1">
        <f>('RECEITAS - PAN'!Y11-'OPEX - PAN'!Y11-VLOOKUP('FLUXO DE CAIXA NOM.-S MULT. PAN'!$A11,'CAPEX - PAN S- MULT.'!$A$3:$Y$21,25,FALSE))</f>
        <v>-992964.53229999996</v>
      </c>
      <c r="AA11" s="1">
        <f>('RECEITAS - PAN'!Z11-'OPEX - PAN'!Z11-VLOOKUP('FLUXO DE CAIXA NOM.-S MULT. PAN'!$A11,'CAPEX - PAN S- MULT.'!$A$3:$Z$21,26,FALSE))</f>
        <v>-814729.23120000004</v>
      </c>
      <c r="AB11" s="1">
        <f>('RECEITAS - PAN'!AA11-'OPEX - PAN'!AA11-VLOOKUP('FLUXO DE CAIXA NOM.-S MULT. PAN'!$A11,'CAPEX - PAN S- MULT.'!$A$3:$AA$21,27,FALSE))</f>
        <v>-7245921.7853999995</v>
      </c>
      <c r="AC11" s="1">
        <f>('RECEITAS - PAN'!AB11-'OPEX - PAN'!AB11-VLOOKUP('FLUXO DE CAIXA NOM.-S MULT. PAN'!$A11,'CAPEX - PAN S- MULT.'!$A$3:$AB$21,28,FALSE))</f>
        <v>-805059.49959999998</v>
      </c>
      <c r="AD11" s="1">
        <f>('RECEITAS - PAN'!AC11-'OPEX - PAN'!AC11-VLOOKUP('FLUXO DE CAIXA NOM.-S MULT. PAN'!$A11,'CAPEX - PAN S- MULT.'!$A$3:$AC$21,29,FALSE))</f>
        <v>-800276.18330000015</v>
      </c>
      <c r="AE11" s="1">
        <f>('RECEITAS - PAN'!AD11-'OPEX - PAN'!AD11-VLOOKUP('FLUXO DE CAIXA NOM.-S MULT. PAN'!$A11,'CAPEX - PAN S- MULT.'!$A$3:$AD$21,30,FALSE))</f>
        <v>-795595.96570000006</v>
      </c>
      <c r="AF11" s="1">
        <f>('RECEITAS - PAN'!AE11-'OPEX - PAN'!AE11-VLOOKUP('FLUXO DE CAIXA NOM.-S MULT. PAN'!$A11,'CAPEX - PAN S- MULT.'!$A$3:$AE$21,31,FALSE))</f>
        <v>-790812.64929999993</v>
      </c>
      <c r="AG11" s="1">
        <f>('RECEITAS - PAN'!AF11-'OPEX - PAN'!AF11-VLOOKUP('FLUXO DE CAIXA NOM.-S MULT. PAN'!$A11,'CAPEX - PAN S- MULT.'!$A$3:$AF$21,32,FALSE))</f>
        <v>-959661.74049999996</v>
      </c>
      <c r="AH11" s="1">
        <f>('RECEITAS - PAN'!AG11-'OPEX - PAN'!AG11-VLOOKUP('FLUXO DE CAIXA NOM.-S MULT. PAN'!$A11,'CAPEX - PAN S- MULT.'!$A$3:$AG$21,33,FALSE))</f>
        <v>-781684.18630000018</v>
      </c>
      <c r="AI11" s="1">
        <f>('RECEITAS - PAN'!AH11-'OPEX - PAN'!AH11-VLOOKUP('FLUXO DE CAIXA NOM.-S MULT. PAN'!$A11,'CAPEX - PAN S- MULT.'!$A$3:$AH$21,34,FALSE))</f>
        <v>-776988.97039999999</v>
      </c>
      <c r="AJ11" s="1">
        <f>('RECEITAS - PAN'!AI11-'OPEX - PAN'!AI11-VLOOKUP('FLUXO DE CAIXA NOM.-S MULT. PAN'!$A11,'CAPEX - PAN S- MULT.'!$A$3:$AI$21,35,FALSE))</f>
        <v>-945683.41350000002</v>
      </c>
      <c r="AK11" s="1">
        <f>VLOOKUP($A11,'RECEITAS - PAN'!$A$3:$AJ$21,36,FALSE)-VLOOKUP($A11,'OPEX - PAN'!$A$3:$AJ$21,36,FALSE)-VLOOKUP('FLUXO DE CAIXA NOM.-S MULT. PAN'!$A11,'CAPEX - PAN S- MULT.'!$A$3:$AJ$21,36,FALSE)</f>
        <v>-765421.99422539724</v>
      </c>
      <c r="AL11" s="1">
        <f>VLOOKUP($A11,'RECEITAS - PAN'!$A$3:$AK$21,37,FALSE)-VLOOKUP($A11,'OPEX - PAN'!$A$3:$AK$21,37,FALSE)-VLOOKUP('FLUXO DE CAIXA NOM.-S MULT. PAN'!$A11,'CAPEX - PAN S- MULT.'!$A$3:$AK$21,37,FALSE)</f>
        <v>-761000.06013696082</v>
      </c>
      <c r="AM11" s="12">
        <f t="shared" si="0"/>
        <v>-58290243.53431239</v>
      </c>
      <c r="AN11">
        <v>0</v>
      </c>
      <c r="AO11">
        <v>-8.0500000000000007</v>
      </c>
      <c r="AP11">
        <v>-38.31666666666667</v>
      </c>
      <c r="AQ11" s="16">
        <f>VLOOKUP(A11,'Projeção - Demanda PAX'!$A$3:E$22,5,FALSE)</f>
        <v>4548</v>
      </c>
      <c r="AR11" s="16">
        <f>VLOOKUP(A11,'Projeção - Demanda PAX'!$A$3:$AG$22,33,FALSE)</f>
        <v>10332</v>
      </c>
      <c r="AS11" s="1">
        <f t="shared" si="1"/>
        <v>-39400806.309350014</v>
      </c>
      <c r="AT11" s="3">
        <f>VLOOKUP(A11,'BASE PAN - CAPEX'!$A$3:$H$22,8,FALSE)</f>
        <v>1</v>
      </c>
    </row>
    <row r="12" spans="1:46" x14ac:dyDescent="0.25">
      <c r="A12" t="s">
        <v>71</v>
      </c>
      <c r="B12" t="s">
        <v>99</v>
      </c>
      <c r="C12">
        <v>110004</v>
      </c>
      <c r="D12" t="s">
        <v>73</v>
      </c>
      <c r="E12" t="s">
        <v>72</v>
      </c>
      <c r="F12" t="s">
        <v>25</v>
      </c>
      <c r="G12" t="s">
        <v>127</v>
      </c>
      <c r="H12" t="s">
        <v>28</v>
      </c>
      <c r="I12" s="1">
        <f>('RECEITAS - PAN'!H12-'OPEX - PAN'!H12-VLOOKUP('FLUXO DE CAIXA NOM.-S MULT. PAN'!$A12,'CAPEX - PAN S- MULT.'!$A$3:$H$21,8,FALSE))</f>
        <v>-6820167.4249999998</v>
      </c>
      <c r="J12" s="1">
        <f>('RECEITAS - PAN'!I12-'OPEX - PAN'!I12-VLOOKUP('FLUXO DE CAIXA NOM.-S MULT. PAN'!$A12,'CAPEX - PAN S- MULT.'!$A$3:$I$21,9,FALSE))</f>
        <v>-6868628.586948486</v>
      </c>
      <c r="K12" s="1">
        <f>('RECEITAS - PAN'!J12-'OPEX - PAN'!J12-VLOOKUP('FLUXO DE CAIXA NOM.-S MULT. PAN'!$A12,'CAPEX - PAN S- MULT.'!$A$3:$J$21,10,FALSE))</f>
        <v>-6741119.8398500001</v>
      </c>
      <c r="L12" s="1">
        <f>('RECEITAS - PAN'!K12-'OPEX - PAN'!K12-VLOOKUP('FLUXO DE CAIXA NOM.-S MULT. PAN'!$A12,'CAPEX - PAN S- MULT.'!$A$3:$K$21,11,FALSE))</f>
        <v>-3076188.0775984852</v>
      </c>
      <c r="M12" s="1">
        <f>('RECEITAS - PAN'!L12-'OPEX - PAN'!L12-VLOOKUP('FLUXO DE CAIXA NOM.-S MULT. PAN'!$A12,'CAPEX - PAN S- MULT.'!$A$3:$L$21,12,FALSE))</f>
        <v>-3133766.1098000002</v>
      </c>
      <c r="N12" s="1">
        <f>('RECEITAS - PAN'!M12-'OPEX - PAN'!M12-VLOOKUP('FLUXO DE CAIXA NOM.-S MULT. PAN'!$A12,'CAPEX - PAN S- MULT.'!$A$3:$M$21,13,FALSE))</f>
        <v>-2937295.6567984857</v>
      </c>
      <c r="O12" s="1">
        <f>('RECEITAS - PAN'!N12-'OPEX - PAN'!N12-VLOOKUP('FLUXO DE CAIXA NOM.-S MULT. PAN'!$A12,'CAPEX - PAN S- MULT.'!$A$3:$N$21,14,FALSE))</f>
        <v>-2782644.8456999995</v>
      </c>
      <c r="P12" s="1">
        <f>('RECEITAS - PAN'!O12-'OPEX - PAN'!O12-VLOOKUP('FLUXO DE CAIXA NOM.-S MULT. PAN'!$A12,'CAPEX - PAN S- MULT.'!$A$3:$O$21,15,FALSE))</f>
        <v>-3033611.7935984856</v>
      </c>
      <c r="Q12" s="1">
        <f>('RECEITAS - PAN'!P12-'OPEX - PAN'!P12-VLOOKUP('FLUXO DE CAIXA NOM.-S MULT. PAN'!$A12,'CAPEX - PAN S- MULT.'!$A$3:$P$21,16,FALSE))</f>
        <v>-2667650.3328999998</v>
      </c>
      <c r="R12" s="1">
        <f>('RECEITAS - PAN'!Q12-'OPEX - PAN'!Q12-VLOOKUP('FLUXO DE CAIXA NOM.-S MULT. PAN'!$A12,'CAPEX - PAN S- MULT.'!$A$3:$Q$21,17,FALSE))</f>
        <v>-15913018.244498488</v>
      </c>
      <c r="S12" s="1">
        <f>('RECEITAS - PAN'!R12-'OPEX - PAN'!R12-VLOOKUP('FLUXO DE CAIXA NOM.-S MULT. PAN'!$A12,'CAPEX - PAN S- MULT.'!$A$3:$R$21,18,FALSE))</f>
        <v>-2556806.5475999997</v>
      </c>
      <c r="T12" s="1">
        <f>('RECEITAS - PAN'!S12-'OPEX - PAN'!S12-VLOOKUP('FLUXO DE CAIXA NOM.-S MULT. PAN'!$A12,'CAPEX - PAN S- MULT.'!$A$3:$S$21,19,FALSE))</f>
        <v>-2590959.9933984857</v>
      </c>
      <c r="U12" s="1">
        <f>('RECEITAS - PAN'!T12-'OPEX - PAN'!T12-VLOOKUP('FLUXO DE CAIXA NOM.-S MULT. PAN'!$A12,'CAPEX - PAN S- MULT.'!$A$3:$T$21,20,FALSE))</f>
        <v>-2444079.5164000001</v>
      </c>
      <c r="V12" s="1">
        <f>('RECEITAS - PAN'!U12-'OPEX - PAN'!U12-VLOOKUP('FLUXO DE CAIXA NOM.-S MULT. PAN'!$A12,'CAPEX - PAN S- MULT.'!$A$3:$U$21,21,FALSE))</f>
        <v>-2477748.1351984856</v>
      </c>
      <c r="W12" s="1">
        <f>('RECEITAS - PAN'!V12-'OPEX - PAN'!V12-VLOOKUP('FLUXO DE CAIXA NOM.-S MULT. PAN'!$A12,'CAPEX - PAN S- MULT.'!$A$3:$V$21,22,FALSE))</f>
        <v>-8356424.4839999992</v>
      </c>
      <c r="X12" s="1">
        <f>('RECEITAS - PAN'!W12-'OPEX - PAN'!W12-VLOOKUP('FLUXO DE CAIXA NOM.-S MULT. PAN'!$A12,'CAPEX - PAN S- MULT.'!$A$3:$W$21,23,FALSE))</f>
        <v>-2361684.5325984857</v>
      </c>
      <c r="Y12" s="1">
        <f>('RECEITAS - PAN'!X12-'OPEX - PAN'!X12-VLOOKUP('FLUXO DE CAIXA NOM.-S MULT. PAN'!$A12,'CAPEX - PAN S- MULT.'!$A$3:$X$21,24,FALSE))</f>
        <v>-2210609.2056999998</v>
      </c>
      <c r="Z12" s="1">
        <f>('RECEITAS - PAN'!Y12-'OPEX - PAN'!Y12-VLOOKUP('FLUXO DE CAIXA NOM.-S MULT. PAN'!$A12,'CAPEX - PAN S- MULT.'!$A$3:$Y$21,25,FALSE))</f>
        <v>-2460043.679098486</v>
      </c>
      <c r="AA12" s="1">
        <f>('RECEITAS - PAN'!Z12-'OPEX - PAN'!Z12-VLOOKUP('FLUXO DE CAIXA NOM.-S MULT. PAN'!$A12,'CAPEX - PAN S- MULT.'!$A$3:$Z$21,26,FALSE))</f>
        <v>-2090325.4789999998</v>
      </c>
      <c r="AB12" s="1">
        <f>('RECEITAS - PAN'!AA12-'OPEX - PAN'!AA12-VLOOKUP('FLUXO DE CAIXA NOM.-S MULT. PAN'!$A12,'CAPEX - PAN S- MULT.'!$A$3:$AA$21,27,FALSE))</f>
        <v>-15330981.996598486</v>
      </c>
      <c r="AC12" s="1">
        <f>('RECEITAS - PAN'!AB12-'OPEX - PAN'!AB12-VLOOKUP('FLUXO DE CAIXA NOM.-S MULT. PAN'!$A12,'CAPEX - PAN S- MULT.'!$A$3:$AB$21,28,FALSE))</f>
        <v>-1970148.4329000004</v>
      </c>
      <c r="AD12" s="1">
        <f>('RECEITAS - PAN'!AC12-'OPEX - PAN'!AC12-VLOOKUP('FLUXO DE CAIXA NOM.-S MULT. PAN'!$A12,'CAPEX - PAN S- MULT.'!$A$3:$AC$21,29,FALSE))</f>
        <v>-2005542.0853984859</v>
      </c>
      <c r="AE12" s="1">
        <f>('RECEITAS - PAN'!AD12-'OPEX - PAN'!AD12-VLOOKUP('FLUXO DE CAIXA NOM.-S MULT. PAN'!$A12,'CAPEX - PAN S- MULT.'!$A$3:$AD$21,30,FALSE))</f>
        <v>-1861458.9986</v>
      </c>
      <c r="AF12" s="1">
        <f>('RECEITAS - PAN'!AE12-'OPEX - PAN'!AE12-VLOOKUP('FLUXO DE CAIXA NOM.-S MULT. PAN'!$A12,'CAPEX - PAN S- MULT.'!$A$3:$AE$21,31,FALSE))</f>
        <v>-1899617.1292984858</v>
      </c>
      <c r="AG12" s="1">
        <f>('RECEITAS - PAN'!AF12-'OPEX - PAN'!AF12-VLOOKUP('FLUXO DE CAIXA NOM.-S MULT. PAN'!$A12,'CAPEX - PAN S- MULT.'!$A$3:$AF$21,32,FALSE))</f>
        <v>-1977545.9596999995</v>
      </c>
      <c r="AH12" s="1">
        <f>('RECEITAS - PAN'!AG12-'OPEX - PAN'!AG12-VLOOKUP('FLUXO DE CAIXA NOM.-S MULT. PAN'!$A12,'CAPEX - PAN S- MULT.'!$A$3:$AG$21,33,FALSE))</f>
        <v>-1798242.6482984857</v>
      </c>
      <c r="AI12" s="1">
        <f>('RECEITAS - PAN'!AH12-'OPEX - PAN'!AH12-VLOOKUP('FLUXO DE CAIXA NOM.-S MULT. PAN'!$A12,'CAPEX - PAN S- MULT.'!$A$3:$AH$21,34,FALSE))</f>
        <v>-1655602.4259000001</v>
      </c>
      <c r="AJ12" s="1">
        <f>('RECEITAS - PAN'!AI12-'OPEX - PAN'!AI12-VLOOKUP('FLUXO DE CAIXA NOM.-S MULT. PAN'!$A12,'CAPEX - PAN S- MULT.'!$A$3:$AI$21,35,FALSE))</f>
        <v>-1913029.1984984856</v>
      </c>
      <c r="AK12" s="1">
        <f>VLOOKUP($A12,'RECEITAS - PAN'!$A$3:$AJ$21,36,FALSE)-VLOOKUP($A12,'OPEX - PAN'!$A$3:$AJ$21,36,FALSE)-VLOOKUP('FLUXO DE CAIXA NOM.-S MULT. PAN'!$A12,'CAPEX - PAN S- MULT.'!$A$3:$AJ$21,36,FALSE)</f>
        <v>-1510938.3215031726</v>
      </c>
      <c r="AL12" s="1">
        <f>VLOOKUP($A12,'RECEITAS - PAN'!$A$3:$AK$21,37,FALSE)-VLOOKUP($A12,'OPEX - PAN'!$A$3:$AK$21,37,FALSE)-VLOOKUP('FLUXO DE CAIXA NOM.-S MULT. PAN'!$A12,'CAPEX - PAN S- MULT.'!$A$3:$AK$21,37,FALSE)</f>
        <v>-1548816.7175664064</v>
      </c>
      <c r="AM12" s="12">
        <f t="shared" si="0"/>
        <v>-114994696.39994839</v>
      </c>
      <c r="AN12">
        <v>1</v>
      </c>
      <c r="AO12">
        <v>-11.483333333333333</v>
      </c>
      <c r="AP12">
        <v>-61.45</v>
      </c>
      <c r="AQ12" s="16">
        <f>VLOOKUP(A12,'Projeção - Demanda PAX'!$A$3:E$22,5,FALSE)</f>
        <v>44200</v>
      </c>
      <c r="AR12" s="16">
        <f>VLOOKUP(A12,'Projeção - Demanda PAX'!$A$3:$AG$22,33,FALSE)</f>
        <v>103509</v>
      </c>
      <c r="AS12" s="1">
        <f t="shared" si="1"/>
        <v>-72400109.589289412</v>
      </c>
      <c r="AT12" s="3">
        <f>VLOOKUP(A12,'BASE PAN - CAPEX'!$A$3:$H$22,8,FALSE)</f>
        <v>3</v>
      </c>
    </row>
    <row r="13" spans="1:46" x14ac:dyDescent="0.25">
      <c r="A13" t="s">
        <v>76</v>
      </c>
      <c r="B13" t="s">
        <v>100</v>
      </c>
      <c r="C13">
        <v>170210</v>
      </c>
      <c r="D13" t="s">
        <v>78</v>
      </c>
      <c r="E13" t="s">
        <v>77</v>
      </c>
      <c r="F13" t="s">
        <v>27</v>
      </c>
      <c r="G13" t="s">
        <v>127</v>
      </c>
      <c r="H13" t="s">
        <v>28</v>
      </c>
      <c r="I13" s="1">
        <f>('RECEITAS - PAN'!H13-'OPEX - PAN'!H13-VLOOKUP('FLUXO DE CAIXA NOM.-S MULT. PAN'!$A13,'CAPEX - PAN S- MULT.'!$A$3:$H$21,8,FALSE))</f>
        <v>-9641984.3542666659</v>
      </c>
      <c r="J13" s="1">
        <f>('RECEITAS - PAN'!I13-'OPEX - PAN'!I13-VLOOKUP('FLUXO DE CAIXA NOM.-S MULT. PAN'!$A13,'CAPEX - PAN S- MULT.'!$A$3:$I$21,9,FALSE))</f>
        <v>-9686205.8601978347</v>
      </c>
      <c r="K13" s="1">
        <f>('RECEITAS - PAN'!J13-'OPEX - PAN'!J13-VLOOKUP('FLUXO DE CAIXA NOM.-S MULT. PAN'!$A13,'CAPEX - PAN S- MULT.'!$A$3:$J$21,10,FALSE))</f>
        <v>-9588824.5426166672</v>
      </c>
      <c r="L13" s="1">
        <f>('RECEITAS - PAN'!K13-'OPEX - PAN'!K13-VLOOKUP('FLUXO DE CAIXA NOM.-S MULT. PAN'!$A13,'CAPEX - PAN S- MULT.'!$A$3:$K$21,11,FALSE))</f>
        <v>-3719993.2469811682</v>
      </c>
      <c r="M13" s="1">
        <f>('RECEITAS - PAN'!L13-'OPEX - PAN'!L13-VLOOKUP('FLUXO DE CAIXA NOM.-S MULT. PAN'!$A13,'CAPEX - PAN S- MULT.'!$A$3:$L$21,12,FALSE))</f>
        <v>-3814934.0726999999</v>
      </c>
      <c r="N13" s="1">
        <f>('RECEITAS - PAN'!M13-'OPEX - PAN'!M13-VLOOKUP('FLUXO DE CAIXA NOM.-S MULT. PAN'!$A13,'CAPEX - PAN S- MULT.'!$A$3:$M$21,13,FALSE))</f>
        <v>-3640774.8083811682</v>
      </c>
      <c r="O13" s="1">
        <f>('RECEITAS - PAN'!N13-'OPEX - PAN'!N13-VLOOKUP('FLUXO DE CAIXA NOM.-S MULT. PAN'!$A13,'CAPEX - PAN S- MULT.'!$A$3:$N$21,14,FALSE))</f>
        <v>-3531449.8279000004</v>
      </c>
      <c r="P13" s="1">
        <f>('RECEITAS - PAN'!O13-'OPEX - PAN'!O13-VLOOKUP('FLUXO DE CAIXA NOM.-S MULT. PAN'!$A13,'CAPEX - PAN S- MULT.'!$A$3:$O$21,15,FALSE))</f>
        <v>-3783869.2368811676</v>
      </c>
      <c r="Q13" s="1">
        <f>('RECEITAS - PAN'!P13-'OPEX - PAN'!P13-VLOOKUP('FLUXO DE CAIXA NOM.-S MULT. PAN'!$A13,'CAPEX - PAN S- MULT.'!$A$3:$P$21,16,FALSE))</f>
        <v>-3471020.1574999997</v>
      </c>
      <c r="R13" s="1">
        <f>('RECEITAS - PAN'!Q13-'OPEX - PAN'!Q13-VLOOKUP('FLUXO DE CAIXA NOM.-S MULT. PAN'!$A13,'CAPEX - PAN S- MULT.'!$A$3:$Q$21,17,FALSE))</f>
        <v>-13876718.076881165</v>
      </c>
      <c r="S13" s="1">
        <f>('RECEITAS - PAN'!R13-'OPEX - PAN'!R13-VLOOKUP('FLUXO DE CAIXA NOM.-S MULT. PAN'!$A13,'CAPEX - PAN S- MULT.'!$A$3:$R$21,18,FALSE))</f>
        <v>-3414166.9014000003</v>
      </c>
      <c r="T13" s="1">
        <f>('RECEITAS - PAN'!S13-'OPEX - PAN'!S13-VLOOKUP('FLUXO DE CAIXA NOM.-S MULT. PAN'!$A13,'CAPEX - PAN S- MULT.'!$A$3:$S$21,19,FALSE))</f>
        <v>-3459249.5746811675</v>
      </c>
      <c r="U13" s="1">
        <f>('RECEITAS - PAN'!T13-'OPEX - PAN'!T13-VLOOKUP('FLUXO DE CAIXA NOM.-S MULT. PAN'!$A13,'CAPEX - PAN S- MULT.'!$A$3:$T$21,20,FALSE))</f>
        <v>-3357174.3807999999</v>
      </c>
      <c r="V13" s="1">
        <f>('RECEITAS - PAN'!U13-'OPEX - PAN'!U13-VLOOKUP('FLUXO DE CAIXA NOM.-S MULT. PAN'!$A13,'CAPEX - PAN S- MULT.'!$A$3:$U$21,21,FALSE))</f>
        <v>-3402742.9218811681</v>
      </c>
      <c r="W13" s="1">
        <f>('RECEITAS - PAN'!V13-'OPEX - PAN'!V13-VLOOKUP('FLUXO DE CAIXA NOM.-S MULT. PAN'!$A13,'CAPEX - PAN S- MULT.'!$A$3:$V$21,22,FALSE))</f>
        <v>-10694948.8104</v>
      </c>
      <c r="X13" s="1">
        <f>('RECEITAS - PAN'!W13-'OPEX - PAN'!W13-VLOOKUP('FLUXO DE CAIXA NOM.-S MULT. PAN'!$A13,'CAPEX - PAN S- MULT.'!$A$3:$W$21,23,FALSE))</f>
        <v>-3345719.8014811678</v>
      </c>
      <c r="Y13" s="1">
        <f>('RECEITAS - PAN'!X13-'OPEX - PAN'!X13-VLOOKUP('FLUXO DE CAIXA NOM.-S MULT. PAN'!$A13,'CAPEX - PAN S- MULT.'!$A$3:$X$21,24,FALSE))</f>
        <v>-3242575.9139999999</v>
      </c>
      <c r="Z13" s="1">
        <f>('RECEITAS - PAN'!Y13-'OPEX - PAN'!Y13-VLOOKUP('FLUXO DE CAIXA NOM.-S MULT. PAN'!$A13,'CAPEX - PAN S- MULT.'!$A$3:$Y$21,25,FALSE))</f>
        <v>-3496843.8741811672</v>
      </c>
      <c r="AA13" s="1">
        <f>('RECEITAS - PAN'!Z13-'OPEX - PAN'!Z13-VLOOKUP('FLUXO DE CAIXA NOM.-S MULT. PAN'!$A13,'CAPEX - PAN S- MULT.'!$A$3:$Z$21,26,FALSE))</f>
        <v>-3184659.1178000001</v>
      </c>
      <c r="AB13" s="1">
        <f>('RECEITAS - PAN'!AA13-'OPEX - PAN'!AA13-VLOOKUP('FLUXO DE CAIXA NOM.-S MULT. PAN'!$A13,'CAPEX - PAN S- MULT.'!$A$3:$AA$21,27,FALSE))</f>
        <v>-13590018.225881165</v>
      </c>
      <c r="AC13" s="1">
        <f>('RECEITAS - PAN'!AB13-'OPEX - PAN'!AB13-VLOOKUP('FLUXO DE CAIXA NOM.-S MULT. PAN'!$A13,'CAPEX - PAN S- MULT.'!$A$3:$AB$21,28,FALSE))</f>
        <v>-3127582.5847999998</v>
      </c>
      <c r="AD13" s="1">
        <f>('RECEITAS - PAN'!AC13-'OPEX - PAN'!AC13-VLOOKUP('FLUXO DE CAIXA NOM.-S MULT. PAN'!$A13,'CAPEX - PAN S- MULT.'!$A$3:$AC$21,29,FALSE))</f>
        <v>-3175033.7142811678</v>
      </c>
      <c r="AE13" s="1">
        <f>('RECEITAS - PAN'!AD13-'OPEX - PAN'!AD13-VLOOKUP('FLUXO DE CAIXA NOM.-S MULT. PAN'!$A13,'CAPEX - PAN S- MULT.'!$A$3:$AD$21,30,FALSE))</f>
        <v>-3075384.7439000001</v>
      </c>
      <c r="AF13" s="1">
        <f>('RECEITAS - PAN'!AE13-'OPEX - PAN'!AE13-VLOOKUP('FLUXO DE CAIXA NOM.-S MULT. PAN'!$A13,'CAPEX - PAN S- MULT.'!$A$3:$AE$21,31,FALSE))</f>
        <v>-3123557.9636811679</v>
      </c>
      <c r="AG13" s="1">
        <f>('RECEITAS - PAN'!AF13-'OPEX - PAN'!AF13-VLOOKUP('FLUXO DE CAIXA NOM.-S MULT. PAN'!$A13,'CAPEX - PAN S- MULT.'!$A$3:$AF$21,32,FALSE))</f>
        <v>-3235116.1330999997</v>
      </c>
      <c r="AH13" s="1">
        <f>('RECEITAS - PAN'!AG13-'OPEX - PAN'!AG13-VLOOKUP('FLUXO DE CAIXA NOM.-S MULT. PAN'!$A13,'CAPEX - PAN S- MULT.'!$A$3:$AG$21,33,FALSE))</f>
        <v>-3075600.8600811674</v>
      </c>
      <c r="AI13" s="1">
        <f>('RECEITAS - PAN'!AH13-'OPEX - PAN'!AH13-VLOOKUP('FLUXO DE CAIXA NOM.-S MULT. PAN'!$A13,'CAPEX - PAN S- MULT.'!$A$3:$AH$21,34,FALSE))</f>
        <v>-2977528.5834000004</v>
      </c>
      <c r="AJ13" s="1">
        <f>('RECEITAS - PAN'!AI13-'OPEX - PAN'!AI13-VLOOKUP('FLUXO DE CAIXA NOM.-S MULT. PAN'!$A13,'CAPEX - PAN S- MULT.'!$A$3:$AI$21,35,FALSE))</f>
        <v>-3236961.5566811678</v>
      </c>
      <c r="AK13" s="1">
        <f>VLOOKUP($A13,'RECEITAS - PAN'!$A$3:$AJ$21,36,FALSE)-VLOOKUP($A13,'OPEX - PAN'!$A$3:$AJ$21,36,FALSE)-VLOOKUP('FLUXO DE CAIXA NOM.-S MULT. PAN'!$A13,'CAPEX - PAN S- MULT.'!$A$3:$AJ$21,36,FALSE)</f>
        <v>-2893111.6983825359</v>
      </c>
      <c r="AL13" s="1">
        <f>VLOOKUP($A13,'RECEITAS - PAN'!$A$3:$AK$21,37,FALSE)-VLOOKUP($A13,'OPEX - PAN'!$A$3:$AK$21,37,FALSE)-VLOOKUP('FLUXO DE CAIXA NOM.-S MULT. PAN'!$A13,'CAPEX - PAN S- MULT.'!$A$3:$AK$21,37,FALSE)</f>
        <v>-2943182.4489231175</v>
      </c>
      <c r="AM13" s="12">
        <f t="shared" si="0"/>
        <v>-146806933.99404198</v>
      </c>
      <c r="AN13">
        <v>1</v>
      </c>
      <c r="AO13">
        <v>-7.2166666666666668</v>
      </c>
      <c r="AP13">
        <v>-48.233333333333334</v>
      </c>
      <c r="AQ13" s="16">
        <f>VLOOKUP(A13,'Projeção - Demanda PAX'!$A$3:E$22,5,FALSE)</f>
        <v>30520</v>
      </c>
      <c r="AR13" s="16">
        <f>VLOOKUP(A13,'Projeção - Demanda PAX'!$A$3:$AG$22,33,FALSE)</f>
        <v>63309</v>
      </c>
      <c r="AS13" s="1">
        <f t="shared" si="1"/>
        <v>-89084056.773468152</v>
      </c>
      <c r="AT13" s="3">
        <f>VLOOKUP(A13,'BASE PAN - CAPEX'!$A$3:$H$22,8,FALSE)</f>
        <v>3</v>
      </c>
    </row>
    <row r="14" spans="1:46" x14ac:dyDescent="0.25">
      <c r="A14" t="s">
        <v>80</v>
      </c>
      <c r="B14" t="s">
        <v>101</v>
      </c>
      <c r="C14">
        <v>221060</v>
      </c>
      <c r="D14" t="s">
        <v>82</v>
      </c>
      <c r="E14" t="s">
        <v>83</v>
      </c>
      <c r="F14" t="s">
        <v>33</v>
      </c>
      <c r="G14" t="s">
        <v>126</v>
      </c>
      <c r="H14" t="s">
        <v>28</v>
      </c>
      <c r="I14" s="1">
        <f>('RECEITAS - PAN'!H14-'OPEX - PAN'!H14-VLOOKUP('FLUXO DE CAIXA NOM.-S MULT. PAN'!$A14,'CAPEX - PAN S- MULT.'!$A$3:$H$21,8,FALSE))</f>
        <v>-8038910.4309</v>
      </c>
      <c r="J14" s="1">
        <f>('RECEITAS - PAN'!I14-'OPEX - PAN'!I14-VLOOKUP('FLUXO DE CAIXA NOM.-S MULT. PAN'!$A14,'CAPEX - PAN S- MULT.'!$A$3:$I$21,9,FALSE))</f>
        <v>-8019756.1231000004</v>
      </c>
      <c r="K14" s="1">
        <f>('RECEITAS - PAN'!J14-'OPEX - PAN'!J14-VLOOKUP('FLUXO DE CAIXA NOM.-S MULT. PAN'!$A14,'CAPEX - PAN S- MULT.'!$A$3:$J$21,10,FALSE))</f>
        <v>-8003067.2200999996</v>
      </c>
      <c r="L14" s="1">
        <f>('RECEITAS - PAN'!K14-'OPEX - PAN'!K14-VLOOKUP('FLUXO DE CAIXA NOM.-S MULT. PAN'!$A14,'CAPEX - PAN S- MULT.'!$A$3:$K$21,11,FALSE))</f>
        <v>-1522695.7288000002</v>
      </c>
      <c r="M14" s="1">
        <f>('RECEITAS - PAN'!L14-'OPEX - PAN'!L14-VLOOKUP('FLUXO DE CAIXA NOM.-S MULT. PAN'!$A14,'CAPEX - PAN S- MULT.'!$A$3:$L$21,12,FALSE))</f>
        <v>-1662868.6068999998</v>
      </c>
      <c r="N14" s="1">
        <f>('RECEITAS - PAN'!M14-'OPEX - PAN'!M14-VLOOKUP('FLUXO DE CAIXA NOM.-S MULT. PAN'!$A14,'CAPEX - PAN S- MULT.'!$A$3:$M$21,13,FALSE))</f>
        <v>-1475605.7553999999</v>
      </c>
      <c r="O14" s="1">
        <f>('RECEITAS - PAN'!N14-'OPEX - PAN'!N14-VLOOKUP('FLUXO DE CAIXA NOM.-S MULT. PAN'!$A14,'CAPEX - PAN S- MULT.'!$A$3:$N$21,14,FALSE))</f>
        <v>-1434575.1024</v>
      </c>
      <c r="P14" s="1">
        <f>('RECEITAS - PAN'!O14-'OPEX - PAN'!O14-VLOOKUP('FLUXO DE CAIXA NOM.-S MULT. PAN'!$A14,'CAPEX - PAN S- MULT.'!$A$3:$O$21,15,FALSE))</f>
        <v>-1570042.3651000001</v>
      </c>
      <c r="Q14" s="1">
        <f>('RECEITAS - PAN'!P14-'OPEX - PAN'!P14-VLOOKUP('FLUXO DE CAIXA NOM.-S MULT. PAN'!$A14,'CAPEX - PAN S- MULT.'!$A$3:$P$21,16,FALSE))</f>
        <v>-1383918.3733000001</v>
      </c>
      <c r="R14" s="1">
        <f>('RECEITAS - PAN'!Q14-'OPEX - PAN'!Q14-VLOOKUP('FLUXO DE CAIXA NOM.-S MULT. PAN'!$A14,'CAPEX - PAN S- MULT.'!$A$3:$Q$21,17,FALSE))</f>
        <v>-10597354.195400001</v>
      </c>
      <c r="S14" s="1">
        <f>('RECEITAS - PAN'!R14-'OPEX - PAN'!R14-VLOOKUP('FLUXO DE CAIXA NOM.-S MULT. PAN'!$A14,'CAPEX - PAN S- MULT.'!$A$3:$R$21,18,FALSE))</f>
        <v>-1333721.2413000001</v>
      </c>
      <c r="T14" s="1">
        <f>('RECEITAS - PAN'!S14-'OPEX - PAN'!S14-VLOOKUP('FLUXO DE CAIXA NOM.-S MULT. PAN'!$A14,'CAPEX - PAN S- MULT.'!$A$3:$S$21,19,FALSE))</f>
        <v>-1292212.389</v>
      </c>
      <c r="U14" s="1">
        <f>('RECEITAS - PAN'!T14-'OPEX - PAN'!T14-VLOOKUP('FLUXO DE CAIXA NOM.-S MULT. PAN'!$A14,'CAPEX - PAN S- MULT.'!$A$3:$T$21,20,FALSE))</f>
        <v>-1282911.7013000001</v>
      </c>
      <c r="V14" s="1">
        <f>('RECEITAS - PAN'!U14-'OPEX - PAN'!U14-VLOOKUP('FLUXO DE CAIXA NOM.-S MULT. PAN'!$A14,'CAPEX - PAN S- MULT.'!$A$3:$U$21,21,FALSE))</f>
        <v>-1273556.7822</v>
      </c>
      <c r="W14" s="1">
        <f>('RECEITAS - PAN'!V14-'OPEX - PAN'!V14-VLOOKUP('FLUXO DE CAIXA NOM.-S MULT. PAN'!$A14,'CAPEX - PAN S- MULT.'!$A$3:$V$21,22,FALSE))</f>
        <v>-8602004.5792000014</v>
      </c>
      <c r="X14" s="1">
        <f>('RECEITAS - PAN'!W14-'OPEX - PAN'!W14-VLOOKUP('FLUXO DE CAIXA NOM.-S MULT. PAN'!$A14,'CAPEX - PAN S- MULT.'!$A$3:$W$21,23,FALSE))</f>
        <v>-1222574.6646000003</v>
      </c>
      <c r="Y14" s="1">
        <f>('RECEITAS - PAN'!X14-'OPEX - PAN'!X14-VLOOKUP('FLUXO DE CAIXA NOM.-S MULT. PAN'!$A14,'CAPEX - PAN S- MULT.'!$A$3:$X$21,24,FALSE))</f>
        <v>-1180094.3614000003</v>
      </c>
      <c r="Z14" s="1">
        <f>('RECEITAS - PAN'!Y14-'OPEX - PAN'!Y14-VLOOKUP('FLUXO DE CAIXA NOM.-S MULT. PAN'!$A14,'CAPEX - PAN S- MULT.'!$A$3:$Y$21,25,FALSE))</f>
        <v>-1346350.4643000001</v>
      </c>
      <c r="AA14" s="1">
        <f>('RECEITAS - PAN'!Z14-'OPEX - PAN'!Z14-VLOOKUP('FLUXO DE CAIXA NOM.-S MULT. PAN'!$A14,'CAPEX - PAN S- MULT.'!$A$3:$Z$21,26,FALSE))</f>
        <v>-1127927.0773999998</v>
      </c>
      <c r="AB14" s="1">
        <f>('RECEITAS - PAN'!AA14-'OPEX - PAN'!AA14-VLOOKUP('FLUXO DE CAIXA NOM.-S MULT. PAN'!$A14,'CAPEX - PAN S- MULT.'!$A$3:$AA$21,27,FALSE))</f>
        <v>-10372779.994000003</v>
      </c>
      <c r="AC14" s="1">
        <f>('RECEITAS - PAN'!AB14-'OPEX - PAN'!AB14-VLOOKUP('FLUXO DE CAIXA NOM.-S MULT. PAN'!$A14,'CAPEX - PAN S- MULT.'!$A$3:$AB$21,28,FALSE))</f>
        <v>-1076619.5713999998</v>
      </c>
      <c r="AD14" s="1">
        <f>('RECEITAS - PAN'!AC14-'OPEX - PAN'!AC14-VLOOKUP('FLUXO DE CAIXA NOM.-S MULT. PAN'!$A14,'CAPEX - PAN S- MULT.'!$A$3:$AC$21,29,FALSE))</f>
        <v>-1068065.6057</v>
      </c>
      <c r="AE14" s="1">
        <f>('RECEITAS - PAN'!AD14-'OPEX - PAN'!AD14-VLOOKUP('FLUXO DE CAIXA NOM.-S MULT. PAN'!$A14,'CAPEX - PAN S- MULT.'!$A$3:$AD$21,30,FALSE))</f>
        <v>-1025907.2409000001</v>
      </c>
      <c r="AF14" s="1">
        <f>('RECEITAS - PAN'!AE14-'OPEX - PAN'!AE14-VLOOKUP('FLUXO DE CAIXA NOM.-S MULT. PAN'!$A14,'CAPEX - PAN S- MULT.'!$A$3:$AE$21,31,FALSE))</f>
        <v>-1018097.9170999997</v>
      </c>
      <c r="AG14" s="1">
        <f>('RECEITAS - PAN'!AF14-'OPEX - PAN'!AF14-VLOOKUP('FLUXO DE CAIXA NOM.-S MULT. PAN'!$A14,'CAPEX - PAN S- MULT.'!$A$3:$AF$21,32,FALSE))</f>
        <v>-1153348.2541999999</v>
      </c>
      <c r="AH14" s="1">
        <f>('RECEITAS - PAN'!AG14-'OPEX - PAN'!AG14-VLOOKUP('FLUXO DE CAIXA NOM.-S MULT. PAN'!$A14,'CAPEX - PAN S- MULT.'!$A$3:$AG$21,33,FALSE))</f>
        <v>-970857.76719999989</v>
      </c>
      <c r="AI14" s="1">
        <f>('RECEITAS - PAN'!AH14-'OPEX - PAN'!AH14-VLOOKUP('FLUXO DE CAIXA NOM.-S MULT. PAN'!$A14,'CAPEX - PAN S- MULT.'!$A$3:$AH$21,34,FALSE))</f>
        <v>-964621.15449999995</v>
      </c>
      <c r="AJ14" s="1">
        <f>('RECEITAS - PAN'!AI14-'OPEX - PAN'!AI14-VLOOKUP('FLUXO DE CAIXA NOM.-S MULT. PAN'!$A14,'CAPEX - PAN S- MULT.'!$A$3:$AI$21,35,FALSE))</f>
        <v>-1134552.4813999997</v>
      </c>
      <c r="AK14" s="1">
        <f>VLOOKUP($A14,'RECEITAS - PAN'!$A$3:$AJ$21,36,FALSE)-VLOOKUP($A14,'OPEX - PAN'!$A$3:$AJ$21,36,FALSE)-VLOOKUP('FLUXO DE CAIXA NOM.-S MULT. PAN'!$A14,'CAPEX - PAN S- MULT.'!$A$3:$AJ$21,36,FALSE)</f>
        <v>-889570.84116349509</v>
      </c>
      <c r="AL14" s="1">
        <f>VLOOKUP($A14,'RECEITAS - PAN'!$A$3:$AK$21,37,FALSE)-VLOOKUP($A14,'OPEX - PAN'!$A$3:$AK$21,37,FALSE)-VLOOKUP('FLUXO DE CAIXA NOM.-S MULT. PAN'!$A14,'CAPEX - PAN S- MULT.'!$A$3:$AK$21,37,FALSE)</f>
        <v>-867756.10303208465</v>
      </c>
      <c r="AM14" s="12">
        <f t="shared" si="0"/>
        <v>-82912324.092695564</v>
      </c>
      <c r="AN14">
        <v>0</v>
      </c>
      <c r="AO14">
        <v>-9.0666666666666664</v>
      </c>
      <c r="AP14">
        <v>-42.633333333333333</v>
      </c>
      <c r="AQ14" s="16">
        <f>VLOOKUP(A14,'Projeção - Demanda PAX'!$A$3:E$22,5,FALSE)</f>
        <v>22845</v>
      </c>
      <c r="AR14" s="16">
        <f>VLOOKUP(A14,'Projeção - Demanda PAX'!$A$3:$AG$22,33,FALSE)</f>
        <v>49712</v>
      </c>
      <c r="AS14" s="1">
        <f t="shared" si="1"/>
        <v>-57493200.594400004</v>
      </c>
      <c r="AT14" s="3">
        <f>VLOOKUP(A14,'BASE PAN - CAPEX'!$A$3:$H$22,8,FALSE)</f>
        <v>2</v>
      </c>
    </row>
    <row r="15" spans="1:46" x14ac:dyDescent="0.25">
      <c r="A15" t="s">
        <v>85</v>
      </c>
      <c r="B15" t="s">
        <v>86</v>
      </c>
      <c r="C15">
        <v>130340</v>
      </c>
      <c r="D15" t="s">
        <v>87</v>
      </c>
      <c r="E15" t="s">
        <v>86</v>
      </c>
      <c r="F15" t="s">
        <v>30</v>
      </c>
      <c r="G15" t="s">
        <v>127</v>
      </c>
      <c r="H15" t="s">
        <v>28</v>
      </c>
      <c r="I15" s="1">
        <f>('RECEITAS - PAN'!H15-'OPEX - PAN'!H15-VLOOKUP('FLUXO DE CAIXA NOM.-S MULT. PAN'!$A15,'CAPEX - PAN S- MULT.'!$A$3:$H$21,8,FALSE))</f>
        <v>-17804106.335233334</v>
      </c>
      <c r="J15" s="1">
        <f>('RECEITAS - PAN'!I15-'OPEX - PAN'!I15-VLOOKUP('FLUXO DE CAIXA NOM.-S MULT. PAN'!$A15,'CAPEX - PAN S- MULT.'!$A$3:$I$21,9,FALSE))</f>
        <v>-16942716.853949945</v>
      </c>
      <c r="K15" s="1">
        <f>('RECEITAS - PAN'!J15-'OPEX - PAN'!J15-VLOOKUP('FLUXO DE CAIXA NOM.-S MULT. PAN'!$A15,'CAPEX - PAN S- MULT.'!$A$3:$J$21,10,FALSE))</f>
        <v>-16776624.457883334</v>
      </c>
      <c r="L15" s="1">
        <f>('RECEITAS - PAN'!K15-'OPEX - PAN'!K15-VLOOKUP('FLUXO DE CAIXA NOM.-S MULT. PAN'!$A15,'CAPEX - PAN S- MULT.'!$A$3:$K$21,11,FALSE))</f>
        <v>-1692929.7405666132</v>
      </c>
      <c r="M15" s="1">
        <f>('RECEITAS - PAN'!L15-'OPEX - PAN'!L15-VLOOKUP('FLUXO DE CAIXA NOM.-S MULT. PAN'!$A15,'CAPEX - PAN S- MULT.'!$A$3:$L$21,12,FALSE))</f>
        <v>-1687545.7575999999</v>
      </c>
      <c r="N15" s="1">
        <f>('RECEITAS - PAN'!M15-'OPEX - PAN'!M15-VLOOKUP('FLUXO DE CAIXA NOM.-S MULT. PAN'!$A15,'CAPEX - PAN S- MULT.'!$A$3:$M$21,13,FALSE))</f>
        <v>-1437250.1771666133</v>
      </c>
      <c r="O15" s="1">
        <f>('RECEITAS - PAN'!N15-'OPEX - PAN'!N15-VLOOKUP('FLUXO DE CAIXA NOM.-S MULT. PAN'!$A15,'CAPEX - PAN S- MULT.'!$A$3:$N$21,14,FALSE))</f>
        <v>-1220754.3748000003</v>
      </c>
      <c r="P15" s="1">
        <f>('RECEITAS - PAN'!O15-'OPEX - PAN'!O15-VLOOKUP('FLUXO DE CAIXA NOM.-S MULT. PAN'!$A15,'CAPEX - PAN S- MULT.'!$A$3:$O$21,15,FALSE))</f>
        <v>-1425799.8663666125</v>
      </c>
      <c r="Q15" s="1">
        <f>('RECEITAS - PAN'!P15-'OPEX - PAN'!P15-VLOOKUP('FLUXO DE CAIXA NOM.-S MULT. PAN'!$A15,'CAPEX - PAN S- MULT.'!$A$3:$P$21,16,FALSE))</f>
        <v>-1001381.9907999998</v>
      </c>
      <c r="R15" s="1">
        <f>('RECEITAS - PAN'!Q15-'OPEX - PAN'!Q15-VLOOKUP('FLUXO DE CAIXA NOM.-S MULT. PAN'!$A15,'CAPEX - PAN S- MULT.'!$A$3:$Q$21,17,FALSE))</f>
        <v>-9976522.9080666117</v>
      </c>
      <c r="S15" s="1">
        <f>('RECEITAS - PAN'!R15-'OPEX - PAN'!R15-VLOOKUP('FLUXO DE CAIXA NOM.-S MULT. PAN'!$A15,'CAPEX - PAN S- MULT.'!$A$3:$R$21,18,FALSE))</f>
        <v>-785044.79710000055</v>
      </c>
      <c r="T15" s="1">
        <f>('RECEITAS - PAN'!S15-'OPEX - PAN'!S15-VLOOKUP('FLUXO DE CAIXA NOM.-S MULT. PAN'!$A15,'CAPEX - PAN S- MULT.'!$A$3:$S$21,19,FALSE))</f>
        <v>-769763.11676661298</v>
      </c>
      <c r="U15" s="1">
        <f>('RECEITAS - PAN'!T15-'OPEX - PAN'!T15-VLOOKUP('FLUXO DE CAIXA NOM.-S MULT. PAN'!$A15,'CAPEX - PAN S- MULT.'!$A$3:$T$21,20,FALSE))</f>
        <v>-562918.85420000041</v>
      </c>
      <c r="V15" s="1">
        <f>('RECEITAS - PAN'!U15-'OPEX - PAN'!U15-VLOOKUP('FLUXO DE CAIXA NOM.-S MULT. PAN'!$A15,'CAPEX - PAN S- MULT.'!$A$3:$U$21,21,FALSE))</f>
        <v>-546011.94846661296</v>
      </c>
      <c r="W15" s="1">
        <f>('RECEITAS - PAN'!V15-'OPEX - PAN'!V15-VLOOKUP('FLUXO DE CAIXA NOM.-S MULT. PAN'!$A15,'CAPEX - PAN S- MULT.'!$A$3:$V$21,22,FALSE))</f>
        <v>-5742650.8636999996</v>
      </c>
      <c r="X15" s="1">
        <f>('RECEITAS - PAN'!W15-'OPEX - PAN'!W15-VLOOKUP('FLUXO DE CAIXA NOM.-S MULT. PAN'!$A15,'CAPEX - PAN S- MULT.'!$A$3:$W$21,23,FALSE))</f>
        <v>-313649.00736661255</v>
      </c>
      <c r="Y15" s="1">
        <f>('RECEITAS - PAN'!X15-'OPEX - PAN'!X15-VLOOKUP('FLUXO DE CAIXA NOM.-S MULT. PAN'!$A15,'CAPEX - PAN S- MULT.'!$A$3:$X$21,24,FALSE))</f>
        <v>-97559.338899999857</v>
      </c>
      <c r="Z15" s="1">
        <f>('RECEITAS - PAN'!Y15-'OPEX - PAN'!Y15-VLOOKUP('FLUXO DE CAIXA NOM.-S MULT. PAN'!$A15,'CAPEX - PAN S- MULT.'!$A$3:$Y$21,25,FALSE))</f>
        <v>-291342.88956661226</v>
      </c>
      <c r="AA15" s="1">
        <f>('RECEITAS - PAN'!Z15-'OPEX - PAN'!Z15-VLOOKUP('FLUXO DE CAIXA NOM.-S MULT. PAN'!$A15,'CAPEX - PAN S- MULT.'!$A$3:$Z$21,26,FALSE))</f>
        <v>147537.85369999986</v>
      </c>
      <c r="AB15" s="1">
        <f>('RECEITAS - PAN'!AA15-'OPEX - PAN'!AA15-VLOOKUP('FLUXO DE CAIXA NOM.-S MULT. PAN'!$A15,'CAPEX - PAN S- MULT.'!$A$3:$AA$21,27,FALSE))</f>
        <v>-8811286.3198666126</v>
      </c>
      <c r="AC15" s="1">
        <f>('RECEITAS - PAN'!AB15-'OPEX - PAN'!AB15-VLOOKUP('FLUXO DE CAIXA NOM.-S MULT. PAN'!$A15,'CAPEX - PAN S- MULT.'!$A$3:$AB$21,28,FALSE))</f>
        <v>396327.00349999964</v>
      </c>
      <c r="AD15" s="1">
        <f>('RECEITAS - PAN'!AC15-'OPEX - PAN'!AC15-VLOOKUP('FLUXO DE CAIXA NOM.-S MULT. PAN'!$A15,'CAPEX - PAN S- MULT.'!$A$3:$AC$21,29,FALSE))</f>
        <v>424447.23233338725</v>
      </c>
      <c r="AE15" s="1">
        <f>('RECEITAS - PAN'!AD15-'OPEX - PAN'!AD15-VLOOKUP('FLUXO DE CAIXA NOM.-S MULT. PAN'!$A15,'CAPEX - PAN S- MULT.'!$A$3:$AD$21,30,FALSE))</f>
        <v>645957.84100000001</v>
      </c>
      <c r="AF15" s="1">
        <f>('RECEITAS - PAN'!AE15-'OPEX - PAN'!AE15-VLOOKUP('FLUXO DE CAIXA NOM.-S MULT. PAN'!$A15,'CAPEX - PAN S- MULT.'!$A$3:$AE$21,31,FALSE))</f>
        <v>678583.3401333876</v>
      </c>
      <c r="AG15" s="1">
        <f>('RECEITAS - PAN'!AF15-'OPEX - PAN'!AF15-VLOOKUP('FLUXO DE CAIXA NOM.-S MULT. PAN'!$A15,'CAPEX - PAN S- MULT.'!$A$3:$AF$21,32,FALSE))</f>
        <v>679841.38770000008</v>
      </c>
      <c r="AH15" s="1">
        <f>('RECEITAS - PAN'!AG15-'OPEX - PAN'!AG15-VLOOKUP('FLUXO DE CAIXA NOM.-S MULT. PAN'!$A15,'CAPEX - PAN S- MULT.'!$A$3:$AG$21,33,FALSE))</f>
        <v>934378.65713338647</v>
      </c>
      <c r="AI15" s="1">
        <f>('RECEITAS - PAN'!AH15-'OPEX - PAN'!AH15-VLOOKUP('FLUXO DE CAIXA NOM.-S MULT. PAN'!$A15,'CAPEX - PAN S- MULT.'!$A$3:$AH$21,34,FALSE))</f>
        <v>1164255.4155999999</v>
      </c>
      <c r="AJ15" s="1">
        <f>('RECEITAS - PAN'!AI15-'OPEX - PAN'!AI15-VLOOKUP('FLUXO DE CAIXA NOM.-S MULT. PAN'!$A15,'CAPEX - PAN S- MULT.'!$A$3:$AI$21,35,FALSE))</f>
        <v>982043.0312333873</v>
      </c>
      <c r="AK15" s="1">
        <f>VLOOKUP($A15,'RECEITAS - PAN'!$A$3:$AJ$21,36,FALSE)-VLOOKUP($A15,'OPEX - PAN'!$A$3:$AJ$21,36,FALSE)-VLOOKUP('FLUXO DE CAIXA NOM.-S MULT. PAN'!$A15,'CAPEX - PAN S- MULT.'!$A$3:$AJ$21,36,FALSE)</f>
        <v>1373506.6711960323</v>
      </c>
      <c r="AL15" s="1">
        <f>VLOOKUP($A15,'RECEITAS - PAN'!$A$3:$AK$21,37,FALSE)-VLOOKUP($A15,'OPEX - PAN'!$A$3:$AK$21,37,FALSE)-VLOOKUP('FLUXO DE CAIXA NOM.-S MULT. PAN'!$A15,'CAPEX - PAN S- MULT.'!$A$3:$AK$21,37,FALSE)</f>
        <v>1389878.4138994943</v>
      </c>
      <c r="AM15" s="12">
        <f t="shared" si="0"/>
        <v>-79069102.75093706</v>
      </c>
      <c r="AN15">
        <v>1</v>
      </c>
      <c r="AO15">
        <v>-2.6666666666666665</v>
      </c>
      <c r="AP15">
        <v>-56.766666666666666</v>
      </c>
      <c r="AQ15" s="16">
        <f>VLOOKUP(A15,'Projeção - Demanda PAX'!$A$3:E$22,5,FALSE)</f>
        <v>68589</v>
      </c>
      <c r="AR15" s="16">
        <f>VLOOKUP(A15,'Projeção - Demanda PAX'!$A$3:$AG$22,33,FALSE)</f>
        <v>190383</v>
      </c>
      <c r="AS15" s="1">
        <f t="shared" si="1"/>
        <v>-78372022.042666301</v>
      </c>
      <c r="AT15" s="3">
        <f>VLOOKUP(A15,'BASE PAN - CAPEX'!$A$3:$H$22,8,FALSE)</f>
        <v>3</v>
      </c>
    </row>
    <row r="16" spans="1:46" x14ac:dyDescent="0.25">
      <c r="A16" t="s">
        <v>130</v>
      </c>
      <c r="B16" t="s">
        <v>131</v>
      </c>
      <c r="C16">
        <v>210170</v>
      </c>
      <c r="D16" t="s">
        <v>136</v>
      </c>
      <c r="E16" t="s">
        <v>131</v>
      </c>
      <c r="F16" t="s">
        <v>26</v>
      </c>
      <c r="G16" t="s">
        <v>126</v>
      </c>
      <c r="H16" t="s">
        <v>28</v>
      </c>
      <c r="I16" s="1">
        <f>('RECEITAS - PAN'!H16-'OPEX - PAN'!H16-VLOOKUP('FLUXO DE CAIXA NOM.-S MULT. PAN'!$A16,'CAPEX - PAN S- MULT.'!$A$3:$H$21,8,FALSE))</f>
        <v>-10600324.493799999</v>
      </c>
      <c r="J16" s="1">
        <f>('RECEITAS - PAN'!I16-'OPEX - PAN'!I16-VLOOKUP('FLUXO DE CAIXA NOM.-S MULT. PAN'!$A16,'CAPEX - PAN S- MULT.'!$A$3:$I$21,9,FALSE))</f>
        <v>-9601358.2422364503</v>
      </c>
      <c r="K16" s="1">
        <f>('RECEITAS - PAN'!J16-'OPEX - PAN'!J16-VLOOKUP('FLUXO DE CAIXA NOM.-S MULT. PAN'!$A16,'CAPEX - PAN S- MULT.'!$A$3:$J$21,10,FALSE))</f>
        <v>-9458318.7756999992</v>
      </c>
      <c r="L16" s="1">
        <f>('RECEITAS - PAN'!K16-'OPEX - PAN'!K16-VLOOKUP('FLUXO DE CAIXA NOM.-S MULT. PAN'!$A16,'CAPEX - PAN S- MULT.'!$A$3:$K$21,11,FALSE))</f>
        <v>-554921.73228645104</v>
      </c>
      <c r="M16" s="1">
        <f>('RECEITAS - PAN'!L16-'OPEX - PAN'!L16-VLOOKUP('FLUXO DE CAIXA NOM.-S MULT. PAN'!$A16,'CAPEX - PAN S- MULT.'!$A$3:$L$21,12,FALSE))</f>
        <v>-557425.72389999987</v>
      </c>
      <c r="N16" s="1">
        <f>('RECEITAS - PAN'!M16-'OPEX - PAN'!M16-VLOOKUP('FLUXO DE CAIXA NOM.-S MULT. PAN'!$A16,'CAPEX - PAN S- MULT.'!$A$3:$M$21,13,FALSE))</f>
        <v>-298888.81428645097</v>
      </c>
      <c r="O16" s="1">
        <f>('RECEITAS - PAN'!N16-'OPEX - PAN'!N16-VLOOKUP('FLUXO DE CAIXA NOM.-S MULT. PAN'!$A16,'CAPEX - PAN S- MULT.'!$A$3:$N$21,14,FALSE))</f>
        <v>-100847.98430000013</v>
      </c>
      <c r="P16" s="1">
        <f>('RECEITAS - PAN'!O16-'OPEX - PAN'!O16-VLOOKUP('FLUXO DE CAIXA NOM.-S MULT. PAN'!$A16,'CAPEX - PAN S- MULT.'!$A$3:$O$21,15,FALSE))</f>
        <v>-273909.30038645066</v>
      </c>
      <c r="Q16" s="1">
        <f>('RECEITAS - PAN'!P16-'OPEX - PAN'!P16-VLOOKUP('FLUXO DE CAIXA NOM.-S MULT. PAN'!$A16,'CAPEX - PAN S- MULT.'!$A$3:$P$21,16,FALSE))</f>
        <v>116689.12699999986</v>
      </c>
      <c r="R16" s="1">
        <f>('RECEITAS - PAN'!Q16-'OPEX - PAN'!Q16-VLOOKUP('FLUXO DE CAIXA NOM.-S MULT. PAN'!$A16,'CAPEX - PAN S- MULT.'!$A$3:$Q$21,17,FALSE))</f>
        <v>-7277738.280186451</v>
      </c>
      <c r="S16" s="1">
        <f>('RECEITAS - PAN'!R16-'OPEX - PAN'!R16-VLOOKUP('FLUXO DE CAIXA NOM.-S MULT. PAN'!$A16,'CAPEX - PAN S- MULT.'!$A$3:$R$21,18,FALSE))</f>
        <v>323379.34320000047</v>
      </c>
      <c r="T16" s="1">
        <f>('RECEITAS - PAN'!S16-'OPEX - PAN'!S16-VLOOKUP('FLUXO DE CAIXA NOM.-S MULT. PAN'!$A16,'CAPEX - PAN S- MULT.'!$A$3:$S$21,19,FALSE))</f>
        <v>353513.08421354915</v>
      </c>
      <c r="U16" s="1">
        <f>('RECEITAS - PAN'!T16-'OPEX - PAN'!T16-VLOOKUP('FLUXO DE CAIXA NOM.-S MULT. PAN'!$A16,'CAPEX - PAN S- MULT.'!$A$3:$T$21,20,FALSE))</f>
        <v>538188.87620000029</v>
      </c>
      <c r="V16" s="1">
        <f>('RECEITAS - PAN'!U16-'OPEX - PAN'!U16-VLOOKUP('FLUXO DE CAIXA NOM.-S MULT. PAN'!$A16,'CAPEX - PAN S- MULT.'!$A$3:$U$21,21,FALSE))</f>
        <v>567654.93331354891</v>
      </c>
      <c r="W16" s="1">
        <f>('RECEITAS - PAN'!V16-'OPEX - PAN'!V16-VLOOKUP('FLUXO DE CAIXA NOM.-S MULT. PAN'!$A16,'CAPEX - PAN S- MULT.'!$A$3:$V$21,22,FALSE))</f>
        <v>-4770721.5550999995</v>
      </c>
      <c r="X16" s="1">
        <f>('RECEITAS - PAN'!W16-'OPEX - PAN'!W16-VLOOKUP('FLUXO DE CAIXA NOM.-S MULT. PAN'!$A16,'CAPEX - PAN S- MULT.'!$A$3:$W$21,23,FALSE))</f>
        <v>782978.53961354948</v>
      </c>
      <c r="Y16" s="1">
        <f>('RECEITAS - PAN'!X16-'OPEX - PAN'!X16-VLOOKUP('FLUXO DE CAIXA NOM.-S MULT. PAN'!$A16,'CAPEX - PAN S- MULT.'!$A$3:$X$21,24,FALSE))</f>
        <v>966197.77960000001</v>
      </c>
      <c r="Z16" s="1">
        <f>('RECEITAS - PAN'!Y16-'OPEX - PAN'!Y16-VLOOKUP('FLUXO DE CAIXA NOM.-S MULT. PAN'!$A16,'CAPEX - PAN S- MULT.'!$A$3:$Y$21,25,FALSE))</f>
        <v>796384.45681354869</v>
      </c>
      <c r="AA16" s="1">
        <f>('RECEITAS - PAN'!Z16-'OPEX - PAN'!Z16-VLOOKUP('FLUXO DE CAIXA NOM.-S MULT. PAN'!$A16,'CAPEX - PAN S- MULT.'!$A$3:$Z$21,26,FALSE))</f>
        <v>1187362.9167999998</v>
      </c>
      <c r="AB16" s="1">
        <f>('RECEITAS - PAN'!AA16-'OPEX - PAN'!AA16-VLOOKUP('FLUXO DE CAIXA NOM.-S MULT. PAN'!$A16,'CAPEX - PAN S- MULT.'!$A$3:$AA$21,27,FALSE))</f>
        <v>-6199829.5492864512</v>
      </c>
      <c r="AC16" s="1">
        <f>('RECEITAS - PAN'!AB16-'OPEX - PAN'!AB16-VLOOKUP('FLUXO DE CAIXA NOM.-S MULT. PAN'!$A16,'CAPEX - PAN S- MULT.'!$A$3:$AB$21,28,FALSE))</f>
        <v>1409873.7929999996</v>
      </c>
      <c r="AD16" s="1">
        <f>('RECEITAS - PAN'!AC16-'OPEX - PAN'!AC16-VLOOKUP('FLUXO DE CAIXA NOM.-S MULT. PAN'!$A16,'CAPEX - PAN S- MULT.'!$A$3:$AC$21,29,FALSE))</f>
        <v>1433659.5280135488</v>
      </c>
      <c r="AE16" s="1">
        <f>('RECEITAS - PAN'!AD16-'OPEX - PAN'!AD16-VLOOKUP('FLUXO DE CAIXA NOM.-S MULT. PAN'!$A16,'CAPEX - PAN S- MULT.'!$A$3:$AD$21,30,FALSE))</f>
        <v>1616201.5051000002</v>
      </c>
      <c r="AF16" s="1">
        <f>('RECEITAS - PAN'!AE16-'OPEX - PAN'!AE16-VLOOKUP('FLUXO DE CAIXA NOM.-S MULT. PAN'!$A16,'CAPEX - PAN S- MULT.'!$A$3:$AE$21,31,FALSE))</f>
        <v>1641371.2120135492</v>
      </c>
      <c r="AG16" s="1">
        <f>('RECEITAS - PAN'!AF16-'OPEX - PAN'!AF16-VLOOKUP('FLUXO DE CAIXA NOM.-S MULT. PAN'!$A16,'CAPEX - PAN S- MULT.'!$A$3:$AF$21,32,FALSE))</f>
        <v>1613377.0625000002</v>
      </c>
      <c r="AH16" s="1">
        <f>('RECEITAS - PAN'!AG16-'OPEX - PAN'!AG16-VLOOKUP('FLUXO DE CAIXA NOM.-S MULT. PAN'!$A16,'CAPEX - PAN S- MULT.'!$A$3:$AG$21,33,FALSE))</f>
        <v>1845812.3353135493</v>
      </c>
      <c r="AI16" s="1">
        <f>('RECEITAS - PAN'!AH16-'OPEX - PAN'!AH16-VLOOKUP('FLUXO DE CAIXA NOM.-S MULT. PAN'!$A16,'CAPEX - PAN S- MULT.'!$A$3:$AH$21,34,FALSE))</f>
        <v>2027438.0140999998</v>
      </c>
      <c r="AJ16" s="1">
        <f>('RECEITAS - PAN'!AI16-'OPEX - PAN'!AI16-VLOOKUP('FLUXO DE CAIXA NOM.-S MULT. PAN'!$A16,'CAPEX - PAN S- MULT.'!$A$3:$AI$21,35,FALSE))</f>
        <v>1850788.4329135492</v>
      </c>
      <c r="AK16" s="1">
        <f>VLOOKUP($A16,'RECEITAS - PAN'!$A$3:$AJ$21,36,FALSE)-VLOOKUP($A16,'OPEX - PAN'!$A$3:$AJ$21,36,FALSE)-VLOOKUP('FLUXO DE CAIXA NOM.-S MULT. PAN'!$A16,'CAPEX - PAN S- MULT.'!$A$3:$AJ$21,36,FALSE)</f>
        <v>2280373.5420492105</v>
      </c>
      <c r="AL16" s="1">
        <f>VLOOKUP($A16,'RECEITAS - PAN'!$A$3:$AK$21,37,FALSE)-VLOOKUP($A16,'OPEX - PAN'!$A$3:$AK$21,37,FALSE)-VLOOKUP('FLUXO DE CAIXA NOM.-S MULT. PAN'!$A16,'CAPEX - PAN S- MULT.'!$A$3:$AK$21,37,FALSE)</f>
        <v>2303929.2826698027</v>
      </c>
      <c r="AM16" s="12">
        <f t="shared" si="0"/>
        <v>-26039110.687041298</v>
      </c>
      <c r="AN16">
        <v>0</v>
      </c>
      <c r="AO16">
        <v>-2.75</v>
      </c>
      <c r="AP16">
        <v>-42.8</v>
      </c>
      <c r="AQ16" s="16">
        <f>VLOOKUP(A16,'Projeção - Demanda PAX'!$A$3:E$22,5,FALSE)</f>
        <v>82210</v>
      </c>
      <c r="AR16" s="16">
        <f>VLOOKUP(A16,'Projeção - Demanda PAX'!$A$3:$AG$22,33,FALSE)</f>
        <v>193208</v>
      </c>
      <c r="AS16" s="1">
        <f t="shared" si="1"/>
        <v>-41595029.538255163</v>
      </c>
      <c r="AT16" s="3">
        <f>VLOOKUP(A16,'BASE PAN - CAPEX'!$A$3:$H$22,8,FALSE)</f>
        <v>3</v>
      </c>
    </row>
    <row r="17" spans="1:46" x14ac:dyDescent="0.25">
      <c r="A17" t="s">
        <v>91</v>
      </c>
      <c r="B17" s="4" t="s">
        <v>132</v>
      </c>
      <c r="C17">
        <v>510677</v>
      </c>
      <c r="D17" t="s">
        <v>137</v>
      </c>
      <c r="E17" t="s">
        <v>102</v>
      </c>
      <c r="F17" t="s">
        <v>32</v>
      </c>
      <c r="G17" t="s">
        <v>125</v>
      </c>
      <c r="H17" t="s">
        <v>28</v>
      </c>
      <c r="I17" s="1">
        <f>('RECEITAS - PAN'!H17-'OPEX - PAN'!H17-VLOOKUP('FLUXO DE CAIXA NOM.-S MULT. PAN'!$A17,'CAPEX - PAN S- MULT.'!$A$3:$H$21,8,FALSE))</f>
        <v>-8760390.6302000005</v>
      </c>
      <c r="J17" s="1">
        <f>('RECEITAS - PAN'!I17-'OPEX - PAN'!I17-VLOOKUP('FLUXO DE CAIXA NOM.-S MULT. PAN'!$A17,'CAPEX - PAN S- MULT.'!$A$3:$I$21,9,FALSE))</f>
        <v>-3132745.0818499997</v>
      </c>
      <c r="K17" s="1">
        <f>('RECEITAS - PAN'!J17-'OPEX - PAN'!J17-VLOOKUP('FLUXO DE CAIXA NOM.-S MULT. PAN'!$A17,'CAPEX - PAN S- MULT.'!$A$3:$J$21,10,FALSE))</f>
        <v>-3132721.8563000001</v>
      </c>
      <c r="L17" s="1">
        <f>('RECEITAS - PAN'!K17-'OPEX - PAN'!K17-VLOOKUP('FLUXO DE CAIXA NOM.-S MULT. PAN'!$A17,'CAPEX - PAN S- MULT.'!$A$3:$K$21,11,FALSE))</f>
        <v>-1043099.2886000001</v>
      </c>
      <c r="M17" s="1">
        <f>('RECEITAS - PAN'!L17-'OPEX - PAN'!L17-VLOOKUP('FLUXO DE CAIXA NOM.-S MULT. PAN'!$A17,'CAPEX - PAN S- MULT.'!$A$3:$L$21,12,FALSE))</f>
        <v>-1124263.5245000001</v>
      </c>
      <c r="N17" s="1">
        <f>('RECEITAS - PAN'!M17-'OPEX - PAN'!M17-VLOOKUP('FLUXO DE CAIXA NOM.-S MULT. PAN'!$A17,'CAPEX - PAN S- MULT.'!$A$3:$M$21,13,FALSE))</f>
        <v>-1042944.6404000001</v>
      </c>
      <c r="O17" s="1">
        <f>('RECEITAS - PAN'!N17-'OPEX - PAN'!N17-VLOOKUP('FLUXO DE CAIXA NOM.-S MULT. PAN'!$A17,'CAPEX - PAN S- MULT.'!$A$3:$N$21,14,FALSE))</f>
        <v>-1042893.091</v>
      </c>
      <c r="P17" s="1">
        <f>('RECEITAS - PAN'!O17-'OPEX - PAN'!O17-VLOOKUP('FLUXO DE CAIXA NOM.-S MULT. PAN'!$A17,'CAPEX - PAN S- MULT.'!$A$3:$O$21,15,FALSE))</f>
        <v>-1124057.327</v>
      </c>
      <c r="Q17" s="1">
        <f>('RECEITAS - PAN'!P17-'OPEX - PAN'!P17-VLOOKUP('FLUXO DE CAIXA NOM.-S MULT. PAN'!$A17,'CAPEX - PAN S- MULT.'!$A$3:$P$21,16,FALSE))</f>
        <v>-1042738.4428999999</v>
      </c>
      <c r="R17" s="1">
        <f>('RECEITAS - PAN'!Q17-'OPEX - PAN'!Q17-VLOOKUP('FLUXO DE CAIXA NOM.-S MULT. PAN'!$A17,'CAPEX - PAN S- MULT.'!$A$3:$Q$21,17,FALSE))</f>
        <v>-4792381.5788000003</v>
      </c>
      <c r="S17" s="1">
        <f>('RECEITAS - PAN'!R17-'OPEX - PAN'!R17-VLOOKUP('FLUXO DE CAIXA NOM.-S MULT. PAN'!$A17,'CAPEX - PAN S- MULT.'!$A$3:$R$21,18,FALSE))</f>
        <v>-1042583.7947</v>
      </c>
      <c r="T17" s="1">
        <f>('RECEITAS - PAN'!S17-'OPEX - PAN'!S17-VLOOKUP('FLUXO DE CAIXA NOM.-S MULT. PAN'!$A17,'CAPEX - PAN S- MULT.'!$A$3:$S$21,19,FALSE))</f>
        <v>-1042532.2453999999</v>
      </c>
      <c r="U17" s="1">
        <f>('RECEITAS - PAN'!T17-'OPEX - PAN'!T17-VLOOKUP('FLUXO DE CAIXA NOM.-S MULT. PAN'!$A17,'CAPEX - PAN S- MULT.'!$A$3:$T$21,20,FALSE))</f>
        <v>-1042454.9213</v>
      </c>
      <c r="V17" s="1">
        <f>('RECEITAS - PAN'!U17-'OPEX - PAN'!U17-VLOOKUP('FLUXO DE CAIXA NOM.-S MULT. PAN'!$A17,'CAPEX - PAN S- MULT.'!$A$3:$U$21,21,FALSE))</f>
        <v>-1042377.5971</v>
      </c>
      <c r="W17" s="1">
        <f>('RECEITAS - PAN'!V17-'OPEX - PAN'!V17-VLOOKUP('FLUXO DE CAIXA NOM.-S MULT. PAN'!$A17,'CAPEX - PAN S- MULT.'!$A$3:$V$21,22,FALSE))</f>
        <v>-2981114.2530999999</v>
      </c>
      <c r="X17" s="1">
        <f>('RECEITAS - PAN'!W17-'OPEX - PAN'!W17-VLOOKUP('FLUXO DE CAIXA NOM.-S MULT. PAN'!$A17,'CAPEX - PAN S- MULT.'!$A$3:$W$21,23,FALSE))</f>
        <v>-1042222.949</v>
      </c>
      <c r="Y17" s="1">
        <f>('RECEITAS - PAN'!X17-'OPEX - PAN'!X17-VLOOKUP('FLUXO DE CAIXA NOM.-S MULT. PAN'!$A17,'CAPEX - PAN S- MULT.'!$A$3:$X$21,24,FALSE))</f>
        <v>-1042145.6248999999</v>
      </c>
      <c r="Z17" s="1">
        <f>('RECEITAS - PAN'!Y17-'OPEX - PAN'!Y17-VLOOKUP('FLUXO DE CAIXA NOM.-S MULT. PAN'!$A17,'CAPEX - PAN S- MULT.'!$A$3:$Y$21,25,FALSE))</f>
        <v>-1123309.8609</v>
      </c>
      <c r="AA17" s="1">
        <f>('RECEITAS - PAN'!Z17-'OPEX - PAN'!Z17-VLOOKUP('FLUXO DE CAIXA NOM.-S MULT. PAN'!$A17,'CAPEX - PAN S- MULT.'!$A$3:$Z$21,26,FALSE))</f>
        <v>-1041990.9768000001</v>
      </c>
      <c r="AB17" s="1">
        <f>('RECEITAS - PAN'!AA17-'OPEX - PAN'!AA17-VLOOKUP('FLUXO DE CAIXA NOM.-S MULT. PAN'!$A17,'CAPEX - PAN S- MULT.'!$A$3:$AA$21,27,FALSE))</f>
        <v>-4791634.1127000004</v>
      </c>
      <c r="AC17" s="1">
        <f>('RECEITAS - PAN'!AB17-'OPEX - PAN'!AB17-VLOOKUP('FLUXO DE CAIXA NOM.-S MULT. PAN'!$A17,'CAPEX - PAN S- MULT.'!$A$3:$AB$21,28,FALSE))</f>
        <v>-1041836.3287</v>
      </c>
      <c r="AD17" s="1">
        <f>('RECEITAS - PAN'!AC17-'OPEX - PAN'!AC17-VLOOKUP('FLUXO DE CAIXA NOM.-S MULT. PAN'!$A17,'CAPEX - PAN S- MULT.'!$A$3:$AC$21,29,FALSE))</f>
        <v>-1041759.0045</v>
      </c>
      <c r="AE17" s="1">
        <f>('RECEITAS - PAN'!AD17-'OPEX - PAN'!AD17-VLOOKUP('FLUXO DE CAIXA NOM.-S MULT. PAN'!$A17,'CAPEX - PAN S- MULT.'!$A$3:$AD$21,30,FALSE))</f>
        <v>-1041681.6805</v>
      </c>
      <c r="AF17" s="1">
        <f>('RECEITAS - PAN'!AE17-'OPEX - PAN'!AE17-VLOOKUP('FLUXO DE CAIXA NOM.-S MULT. PAN'!$A17,'CAPEX - PAN S- MULT.'!$A$3:$AE$21,31,FALSE))</f>
        <v>-1041604.3563999999</v>
      </c>
      <c r="AG17" s="1">
        <f>('RECEITAS - PAN'!AF17-'OPEX - PAN'!AF17-VLOOKUP('FLUXO DE CAIXA NOM.-S MULT. PAN'!$A17,'CAPEX - PAN S- MULT.'!$A$3:$AF$21,32,FALSE))</f>
        <v>-1122768.5923000001</v>
      </c>
      <c r="AH17" s="1">
        <f>('RECEITAS - PAN'!AG17-'OPEX - PAN'!AG17-VLOOKUP('FLUXO DE CAIXA NOM.-S MULT. PAN'!$A17,'CAPEX - PAN S- MULT.'!$A$3:$AG$21,33,FALSE))</f>
        <v>-1041449.7083000001</v>
      </c>
      <c r="AI17" s="1">
        <f>('RECEITAS - PAN'!AH17-'OPEX - PAN'!AH17-VLOOKUP('FLUXO DE CAIXA NOM.-S MULT. PAN'!$A17,'CAPEX - PAN S- MULT.'!$A$3:$AH$21,34,FALSE))</f>
        <v>-1041372.3842</v>
      </c>
      <c r="AJ17" s="1">
        <f>('RECEITAS - PAN'!AI17-'OPEX - PAN'!AI17-VLOOKUP('FLUXO DE CAIXA NOM.-S MULT. PAN'!$A17,'CAPEX - PAN S- MULT.'!$A$3:$AI$21,35,FALSE))</f>
        <v>-1122521.6218000001</v>
      </c>
      <c r="AK17" s="1">
        <f>VLOOKUP($A17,'RECEITAS - PAN'!$A$3:$AJ$21,36,FALSE)-VLOOKUP($A17,'OPEX - PAN'!$A$3:$AJ$21,36,FALSE)-VLOOKUP('FLUXO DE CAIXA NOM.-S MULT. PAN'!$A17,'CAPEX - PAN S- MULT.'!$A$3:$AJ$21,36,FALSE)</f>
        <v>-1041236.0495174603</v>
      </c>
      <c r="AL17" s="1">
        <f>VLOOKUP($A17,'RECEITAS - PAN'!$A$3:$AK$21,37,FALSE)-VLOOKUP($A17,'OPEX - PAN'!$A$3:$AK$21,37,FALSE)-VLOOKUP('FLUXO DE CAIXA NOM.-S MULT. PAN'!$A17,'CAPEX - PAN S- MULT.'!$A$3:$AK$21,37,FALSE)</f>
        <v>-1041159.2105159863</v>
      </c>
      <c r="AM17" s="12">
        <f t="shared" si="0"/>
        <v>-53007990.734183446</v>
      </c>
      <c r="AN17">
        <v>1</v>
      </c>
      <c r="AO17">
        <v>-10.916666666666666</v>
      </c>
      <c r="AP17">
        <v>-51.6</v>
      </c>
      <c r="AQ17" s="16">
        <f>VLOOKUP(A17,'Projeção - Demanda PAX'!$A$3:E$22,5,FALSE)</f>
        <v>500</v>
      </c>
      <c r="AR17" s="16">
        <f>VLOOKUP(A17,'Projeção - Demanda PAX'!$A$3:$AG$22,33,FALSE)</f>
        <v>578</v>
      </c>
      <c r="AS17" s="1">
        <f t="shared" si="1"/>
        <v>-33389298.273150004</v>
      </c>
      <c r="AT17" s="3">
        <f>VLOOKUP(A17,'BASE PAN - CAPEX'!$A$3:$H$22,8,FALSE)</f>
        <v>0</v>
      </c>
    </row>
    <row r="18" spans="1:46" s="17" customFormat="1" x14ac:dyDescent="0.25">
      <c r="A18" s="17" t="s">
        <v>154</v>
      </c>
      <c r="B18" s="30" t="s">
        <v>155</v>
      </c>
      <c r="C18" s="17">
        <v>260110</v>
      </c>
      <c r="D18" s="17" t="s">
        <v>156</v>
      </c>
      <c r="E18" s="17" t="s">
        <v>155</v>
      </c>
      <c r="F18" s="17" t="s">
        <v>31</v>
      </c>
      <c r="G18" s="17" t="s">
        <v>126</v>
      </c>
      <c r="H18" s="17" t="s">
        <v>28</v>
      </c>
      <c r="I18" s="1">
        <f>('RECEITAS - PAN'!H18-'OPEX - PAN'!H18-VLOOKUP('FLUXO DE CAIXA NOM.-S MULT. PAN'!$A18,'CAPEX - PAN S- MULT.'!$A$3:$H$21,8,FALSE))</f>
        <v>-7819892.1006000005</v>
      </c>
      <c r="J18" s="1">
        <f>('RECEITAS - PAN'!I18-'OPEX - PAN'!I18-VLOOKUP('FLUXO DE CAIXA NOM.-S MULT. PAN'!$A18,'CAPEX - PAN S- MULT.'!$A$3:$I$21,9,FALSE))</f>
        <v>-2132363.2539999997</v>
      </c>
      <c r="K18" s="1">
        <f>('RECEITAS - PAN'!J18-'OPEX - PAN'!J18-VLOOKUP('FLUXO DE CAIXA NOM.-S MULT. PAN'!$A18,'CAPEX - PAN S- MULT.'!$A$3:$J$21,10,FALSE))</f>
        <v>-2132281.9645499997</v>
      </c>
      <c r="L18" s="1">
        <f>('RECEITAS - PAN'!K18-'OPEX - PAN'!K18-VLOOKUP('FLUXO DE CAIXA NOM.-S MULT. PAN'!$A18,'CAPEX - PAN S- MULT.'!$A$3:$K$21,11,FALSE))</f>
        <v>-1252443.0026</v>
      </c>
      <c r="M18" s="1">
        <f>('RECEITAS - PAN'!L18-'OPEX - PAN'!L18-VLOOKUP('FLUXO DE CAIXA NOM.-S MULT. PAN'!$A18,'CAPEX - PAN S- MULT.'!$A$3:$L$21,12,FALSE))</f>
        <v>-1320739.4345000002</v>
      </c>
      <c r="N18" s="1">
        <f>('RECEITAS - PAN'!M18-'OPEX - PAN'!M18-VLOOKUP('FLUXO DE CAIXA NOM.-S MULT. PAN'!$A18,'CAPEX - PAN S- MULT.'!$A$3:$M$21,13,FALSE))</f>
        <v>-1252107.9317000001</v>
      </c>
      <c r="O18" s="1">
        <f>('RECEITAS - PAN'!N18-'OPEX - PAN'!N18-VLOOKUP('FLUXO DE CAIXA NOM.-S MULT. PAN'!$A18,'CAPEX - PAN S- MULT.'!$A$3:$N$21,14,FALSE))</f>
        <v>-1251927.5088</v>
      </c>
      <c r="P18" s="1">
        <f>('RECEITAS - PAN'!O18-'OPEX - PAN'!O18-VLOOKUP('FLUXO DE CAIXA NOM.-S MULT. PAN'!$A18,'CAPEX - PAN S- MULT.'!$A$3:$O$21,15,FALSE))</f>
        <v>-1320198.1659000001</v>
      </c>
      <c r="Q18" s="1">
        <f>('RECEITAS - PAN'!P18-'OPEX - PAN'!P18-VLOOKUP('FLUXO DE CAIXA NOM.-S MULT. PAN'!$A18,'CAPEX - PAN S- MULT.'!$A$3:$P$21,16,FALSE))</f>
        <v>-1251566.6632000001</v>
      </c>
      <c r="R18" s="1">
        <f>('RECEITAS - PAN'!Q18-'OPEX - PAN'!Q18-VLOOKUP('FLUXO DE CAIXA NOM.-S MULT. PAN'!$A18,'CAPEX - PAN S- MULT.'!$A$3:$Q$21,17,FALSE))</f>
        <v>-5095324.3602999998</v>
      </c>
      <c r="S18" s="1">
        <f>('RECEITAS - PAN'!R18-'OPEX - PAN'!R18-VLOOKUP('FLUXO DE CAIXA NOM.-S MULT. PAN'!$A18,'CAPEX - PAN S- MULT.'!$A$3:$R$21,18,FALSE))</f>
        <v>-1251205.8173999998</v>
      </c>
      <c r="T18" s="1">
        <f>('RECEITAS - PAN'!S18-'OPEX - PAN'!S18-VLOOKUP('FLUXO DE CAIXA NOM.-S MULT. PAN'!$A18,'CAPEX - PAN S- MULT.'!$A$3:$S$21,19,FALSE))</f>
        <v>-1250999.6199</v>
      </c>
      <c r="U18" s="1">
        <f>('RECEITAS - PAN'!T18-'OPEX - PAN'!T18-VLOOKUP('FLUXO DE CAIXA NOM.-S MULT. PAN'!$A18,'CAPEX - PAN S- MULT.'!$A$3:$T$21,20,FALSE))</f>
        <v>-1250804.1987000001</v>
      </c>
      <c r="V18" s="1">
        <f>('RECEITAS - PAN'!U18-'OPEX - PAN'!U18-VLOOKUP('FLUXO DE CAIXA NOM.-S MULT. PAN'!$A18,'CAPEX - PAN S- MULT.'!$A$3:$U$21,21,FALSE))</f>
        <v>-1250598.0012000001</v>
      </c>
      <c r="W18" s="1">
        <f>('RECEITAS - PAN'!V18-'OPEX - PAN'!V18-VLOOKUP('FLUXO DE CAIXA NOM.-S MULT. PAN'!$A18,'CAPEX - PAN S- MULT.'!$A$3:$V$21,22,FALSE))</f>
        <v>-3162389.7083000001</v>
      </c>
      <c r="X18" s="1">
        <f>('RECEITAS - PAN'!W18-'OPEX - PAN'!W18-VLOOKUP('FLUXO DE CAIXA NOM.-S MULT. PAN'!$A18,'CAPEX - PAN S- MULT.'!$A$3:$W$21,23,FALSE))</f>
        <v>-1250211.3808000002</v>
      </c>
      <c r="Y18" s="1">
        <f>('RECEITAS - PAN'!X18-'OPEX - PAN'!X18-VLOOKUP('FLUXO DE CAIXA NOM.-S MULT. PAN'!$A18,'CAPEX - PAN S- MULT.'!$A$3:$X$21,24,FALSE))</f>
        <v>-1250005.1832000001</v>
      </c>
      <c r="Z18" s="1">
        <f>('RECEITAS - PAN'!Y18-'OPEX - PAN'!Y18-VLOOKUP('FLUXO DE CAIXA NOM.-S MULT. PAN'!$A18,'CAPEX - PAN S- MULT.'!$A$3:$Y$21,25,FALSE))</f>
        <v>-1318250.0656999999</v>
      </c>
      <c r="AA18" s="1">
        <f>('RECEITAS - PAN'!Z18-'OPEX - PAN'!Z18-VLOOKUP('FLUXO DE CAIXA NOM.-S MULT. PAN'!$A18,'CAPEX - PAN S- MULT.'!$A$3:$Z$21,26,FALSE))</f>
        <v>-1249592.7882000001</v>
      </c>
      <c r="AB18" s="1">
        <f>('RECEITAS - PAN'!AA18-'OPEX - PAN'!AA18-VLOOKUP('FLUXO DE CAIXA NOM.-S MULT. PAN'!$A18,'CAPEX - PAN S- MULT.'!$A$3:$AA$21,27,FALSE))</f>
        <v>-5093324.7105999999</v>
      </c>
      <c r="AC18" s="1">
        <f>('RECEITAS - PAN'!AB18-'OPEX - PAN'!AB18-VLOOKUP('FLUXO DE CAIXA NOM.-S MULT. PAN'!$A18,'CAPEX - PAN S- MULT.'!$A$3:$AB$21,28,FALSE))</f>
        <v>-1249180.3931</v>
      </c>
      <c r="AD18" s="1">
        <f>('RECEITAS - PAN'!AC18-'OPEX - PAN'!AC18-VLOOKUP('FLUXO DE CAIXA NOM.-S MULT. PAN'!$A18,'CAPEX - PAN S- MULT.'!$A$3:$AC$21,29,FALSE))</f>
        <v>-1248948.4209</v>
      </c>
      <c r="AE18" s="1">
        <f>('RECEITAS - PAN'!AD18-'OPEX - PAN'!AD18-VLOOKUP('FLUXO DE CAIXA NOM.-S MULT. PAN'!$A18,'CAPEX - PAN S- MULT.'!$A$3:$AD$21,30,FALSE))</f>
        <v>-1248742.2234</v>
      </c>
      <c r="AF18" s="1">
        <f>('RECEITAS - PAN'!AE18-'OPEX - PAN'!AE18-VLOOKUP('FLUXO DE CAIXA NOM.-S MULT. PAN'!$A18,'CAPEX - PAN S- MULT.'!$A$3:$AE$21,31,FALSE))</f>
        <v>-1248510.2512000001</v>
      </c>
      <c r="AG18" s="1">
        <f>('RECEITAS - PAN'!AF18-'OPEX - PAN'!AF18-VLOOKUP('FLUXO DE CAIXA NOM.-S MULT. PAN'!$A18,'CAPEX - PAN S- MULT.'!$A$3:$AF$21,32,FALSE))</f>
        <v>-1316755.1336000001</v>
      </c>
      <c r="AH18" s="1">
        <f>('RECEITAS - PAN'!AG18-'OPEX - PAN'!AG18-VLOOKUP('FLUXO DE CAIXA NOM.-S MULT. PAN'!$A18,'CAPEX - PAN S- MULT.'!$A$3:$AG$21,33,FALSE))</f>
        <v>-1248072.0813</v>
      </c>
      <c r="AI18" s="1">
        <f>('RECEITAS - PAN'!AH18-'OPEX - PAN'!AH18-VLOOKUP('FLUXO DE CAIXA NOM.-S MULT. PAN'!$A18,'CAPEX - PAN S- MULT.'!$A$3:$AH$21,34,FALSE))</f>
        <v>-1247840.1091</v>
      </c>
      <c r="AJ18" s="1">
        <f>('RECEITAS - PAN'!AI18-'OPEX - PAN'!AI18-VLOOKUP('FLUXO DE CAIXA NOM.-S MULT. PAN'!$A18,'CAPEX - PAN S- MULT.'!$A$3:$AI$21,35,FALSE))</f>
        <v>-1316059.2170000002</v>
      </c>
      <c r="AK18" s="1">
        <f>VLOOKUP($A18,'RECEITAS - PAN'!$A$3:$AJ$21,36,FALSE)-VLOOKUP($A18,'OPEX - PAN'!$A$3:$AJ$21,36,FALSE)-VLOOKUP('FLUXO DE CAIXA NOM.-S MULT. PAN'!$A18,'CAPEX - PAN S- MULT.'!$A$3:$AJ$21,36,FALSE)</f>
        <v>-1247557.9294690478</v>
      </c>
      <c r="AL18" s="1">
        <f>VLOOKUP($A18,'RECEITAS - PAN'!$A$3:$AK$21,37,FALSE)-VLOOKUP($A18,'OPEX - PAN'!$A$3:$AK$21,37,FALSE)-VLOOKUP('FLUXO DE CAIXA NOM.-S MULT. PAN'!$A18,'CAPEX - PAN S- MULT.'!$A$3:$AK$21,37,FALSE)</f>
        <v>-1247348.0034725626</v>
      </c>
      <c r="AM18" s="31">
        <f t="shared" si="0"/>
        <v>-55775239.622691609</v>
      </c>
      <c r="AN18" s="17">
        <v>0</v>
      </c>
      <c r="AO18" s="17">
        <v>-7.583333333333333</v>
      </c>
      <c r="AP18" s="17">
        <v>-40.533333333333331</v>
      </c>
      <c r="AQ18" s="16">
        <f>VLOOKUP(A18,'Projeção - Demanda PAX'!$A$3:E$22,5,FALSE)</f>
        <v>500</v>
      </c>
      <c r="AR18" s="16">
        <f>VLOOKUP(A18,'Projeção - Demanda PAX'!$A$3:$AG$22,33,FALSE)</f>
        <v>707</v>
      </c>
      <c r="AS18" s="28">
        <f t="shared" ref="AS18:AS21" si="2">SUM(I18:W18)</f>
        <v>-32994841.731650002</v>
      </c>
      <c r="AT18" s="3">
        <f>VLOOKUP(A18,'BASE PAN - CAPEX'!$A$3:$H$22,8,FALSE)</f>
        <v>0</v>
      </c>
    </row>
    <row r="19" spans="1:46" s="17" customFormat="1" x14ac:dyDescent="0.25">
      <c r="A19" s="17" t="s">
        <v>157</v>
      </c>
      <c r="B19" s="30" t="s">
        <v>158</v>
      </c>
      <c r="C19" s="17">
        <v>260600</v>
      </c>
      <c r="D19" s="17" t="s">
        <v>159</v>
      </c>
      <c r="E19" s="17" t="s">
        <v>158</v>
      </c>
      <c r="F19" s="17" t="s">
        <v>31</v>
      </c>
      <c r="G19" s="17" t="s">
        <v>126</v>
      </c>
      <c r="H19" s="17" t="s">
        <v>28</v>
      </c>
      <c r="I19" s="1">
        <f>('RECEITAS - PAN'!H19-'OPEX - PAN'!H19-VLOOKUP('FLUXO DE CAIXA NOM.-S MULT. PAN'!$A19,'CAPEX - PAN S- MULT.'!$A$3:$H$21,8,FALSE))</f>
        <v>-8150974.0272666663</v>
      </c>
      <c r="J19" s="1">
        <f>('RECEITAS - PAN'!I19-'OPEX - PAN'!I19-VLOOKUP('FLUXO DE CAIXA NOM.-S MULT. PAN'!$A19,'CAPEX - PAN S- MULT.'!$A$3:$I$21,9,FALSE))</f>
        <v>-2634041.5333666666</v>
      </c>
      <c r="K19" s="1">
        <f>('RECEITAS - PAN'!J19-'OPEX - PAN'!J19-VLOOKUP('FLUXO DE CAIXA NOM.-S MULT. PAN'!$A19,'CAPEX - PAN S- MULT.'!$A$3:$J$21,10,FALSE))</f>
        <v>-2633971.8567666668</v>
      </c>
      <c r="L19" s="1">
        <f>('RECEITAS - PAN'!K19-'OPEX - PAN'!K19-VLOOKUP('FLUXO DE CAIXA NOM.-S MULT. PAN'!$A19,'CAPEX - PAN S- MULT.'!$A$3:$K$21,11,FALSE))</f>
        <v>-1252546.1014</v>
      </c>
      <c r="M19" s="1">
        <f>('RECEITAS - PAN'!L19-'OPEX - PAN'!L19-VLOOKUP('FLUXO DE CAIXA NOM.-S MULT. PAN'!$A19,'CAPEX - PAN S- MULT.'!$A$3:$L$21,12,FALSE))</f>
        <v>-1315214.4532999999</v>
      </c>
      <c r="N19" s="1">
        <f>('RECEITAS - PAN'!M19-'OPEX - PAN'!M19-VLOOKUP('FLUXO DE CAIXA NOM.-S MULT. PAN'!$A19,'CAPEX - PAN S- MULT.'!$A$3:$M$21,13,FALSE))</f>
        <v>-1252236.8051</v>
      </c>
      <c r="O19" s="1">
        <f>('RECEITAS - PAN'!N19-'OPEX - PAN'!N19-VLOOKUP('FLUXO DE CAIXA NOM.-S MULT. PAN'!$A19,'CAPEX - PAN S- MULT.'!$A$3:$N$21,14,FALSE))</f>
        <v>-1252107.9317000001</v>
      </c>
      <c r="P19" s="1">
        <f>('RECEITAS - PAN'!O19-'OPEX - PAN'!O19-VLOOKUP('FLUXO DE CAIXA NOM.-S MULT. PAN'!$A19,'CAPEX - PAN S- MULT.'!$A$3:$O$21,15,FALSE))</f>
        <v>-1314776.2834999999</v>
      </c>
      <c r="Q19" s="1">
        <f>('RECEITAS - PAN'!P19-'OPEX - PAN'!P19-VLOOKUP('FLUXO DE CAIXA NOM.-S MULT. PAN'!$A19,'CAPEX - PAN S- MULT.'!$A$3:$P$21,16,FALSE))</f>
        <v>-1251798.6353</v>
      </c>
      <c r="R19" s="1">
        <f>('RECEITAS - PAN'!Q19-'OPEX - PAN'!Q19-VLOOKUP('FLUXO DE CAIXA NOM.-S MULT. PAN'!$A19,'CAPEX - PAN S- MULT.'!$A$3:$Q$21,17,FALSE))</f>
        <v>-5337596.2971999999</v>
      </c>
      <c r="S19" s="1">
        <f>('RECEITAS - PAN'!R19-'OPEX - PAN'!R19-VLOOKUP('FLUXO DE CAIXA NOM.-S MULT. PAN'!$A19,'CAPEX - PAN S- MULT.'!$A$3:$R$21,18,FALSE))</f>
        <v>-1251489.3391</v>
      </c>
      <c r="T19" s="1">
        <f>('RECEITAS - PAN'!S19-'OPEX - PAN'!S19-VLOOKUP('FLUXO DE CAIXA NOM.-S MULT. PAN'!$A19,'CAPEX - PAN S- MULT.'!$A$3:$S$21,19,FALSE))</f>
        <v>-1251334.6909</v>
      </c>
      <c r="U19" s="1">
        <f>('RECEITAS - PAN'!T19-'OPEX - PAN'!T19-VLOOKUP('FLUXO DE CAIXA NOM.-S MULT. PAN'!$A19,'CAPEX - PAN S- MULT.'!$A$3:$T$21,20,FALSE))</f>
        <v>-1251180.0427000001</v>
      </c>
      <c r="V19" s="1">
        <f>('RECEITAS - PAN'!U19-'OPEX - PAN'!U19-VLOOKUP('FLUXO DE CAIXA NOM.-S MULT. PAN'!$A19,'CAPEX - PAN S- MULT.'!$A$3:$U$21,21,FALSE))</f>
        <v>-1251025.3946</v>
      </c>
      <c r="W19" s="1">
        <f>('RECEITAS - PAN'!V19-'OPEX - PAN'!V19-VLOOKUP('FLUXO DE CAIXA NOM.-S MULT. PAN'!$A19,'CAPEX - PAN S- MULT.'!$A$3:$V$21,22,FALSE))</f>
        <v>-2883744.1680999999</v>
      </c>
      <c r="X19" s="1">
        <f>('RECEITAS - PAN'!W19-'OPEX - PAN'!W19-VLOOKUP('FLUXO DE CAIXA NOM.-S MULT. PAN'!$A19,'CAPEX - PAN S- MULT.'!$A$3:$W$21,23,FALSE))</f>
        <v>-1250675.3252999999</v>
      </c>
      <c r="Y19" s="1">
        <f>('RECEITAS - PAN'!X19-'OPEX - PAN'!X19-VLOOKUP('FLUXO DE CAIXA NOM.-S MULT. PAN'!$A19,'CAPEX - PAN S- MULT.'!$A$3:$X$21,24,FALSE))</f>
        <v>-1250520.6771</v>
      </c>
      <c r="Z19" s="1">
        <f>('RECEITAS - PAN'!Y19-'OPEX - PAN'!Y19-VLOOKUP('FLUXO DE CAIXA NOM.-S MULT. PAN'!$A19,'CAPEX - PAN S- MULT.'!$A$3:$Y$21,25,FALSE))</f>
        <v>-1313163.2541999999</v>
      </c>
      <c r="AA19" s="1">
        <f>('RECEITAS - PAN'!Z19-'OPEX - PAN'!Z19-VLOOKUP('FLUXO DE CAIXA NOM.-S MULT. PAN'!$A19,'CAPEX - PAN S- MULT.'!$A$3:$Z$21,26,FALSE))</f>
        <v>-1250185.6061</v>
      </c>
      <c r="AB19" s="1">
        <f>('RECEITAS - PAN'!AA19-'OPEX - PAN'!AA19-VLOOKUP('FLUXO DE CAIXA NOM.-S MULT. PAN'!$A19,'CAPEX - PAN S- MULT.'!$A$3:$AA$21,27,FALSE))</f>
        <v>-5335957.4932000004</v>
      </c>
      <c r="AC19" s="1">
        <f>('RECEITAS - PAN'!AB19-'OPEX - PAN'!AB19-VLOOKUP('FLUXO DE CAIXA NOM.-S MULT. PAN'!$A19,'CAPEX - PAN S- MULT.'!$A$3:$AB$21,28,FALSE))</f>
        <v>-1249850.5351</v>
      </c>
      <c r="AD19" s="1">
        <f>('RECEITAS - PAN'!AC19-'OPEX - PAN'!AC19-VLOOKUP('FLUXO DE CAIXA NOM.-S MULT. PAN'!$A19,'CAPEX - PAN S- MULT.'!$A$3:$AC$21,29,FALSE))</f>
        <v>-1249670.1122999999</v>
      </c>
      <c r="AE19" s="1">
        <f>('RECEITAS - PAN'!AD19-'OPEX - PAN'!AD19-VLOOKUP('FLUXO DE CAIXA NOM.-S MULT. PAN'!$A19,'CAPEX - PAN S- MULT.'!$A$3:$AD$21,30,FALSE))</f>
        <v>-1249489.6894</v>
      </c>
      <c r="AF19" s="1">
        <f>('RECEITAS - PAN'!AE19-'OPEX - PAN'!AE19-VLOOKUP('FLUXO DE CAIXA NOM.-S MULT. PAN'!$A19,'CAPEX - PAN S- MULT.'!$A$3:$AE$21,31,FALSE))</f>
        <v>-1249309.2666</v>
      </c>
      <c r="AG19" s="1">
        <f>('RECEITAS - PAN'!AF19-'OPEX - PAN'!AF19-VLOOKUP('FLUXO DE CAIXA NOM.-S MULT. PAN'!$A19,'CAPEX - PAN S- MULT.'!$A$3:$AF$21,32,FALSE))</f>
        <v>-1311951.8437999999</v>
      </c>
      <c r="AH19" s="1">
        <f>('RECEITAS - PAN'!AG19-'OPEX - PAN'!AG19-VLOOKUP('FLUXO DE CAIXA NOM.-S MULT. PAN'!$A19,'CAPEX - PAN S- MULT.'!$A$3:$AG$21,33,FALSE))</f>
        <v>-1248948.4209</v>
      </c>
      <c r="AI19" s="1">
        <f>('RECEITAS - PAN'!AH19-'OPEX - PAN'!AH19-VLOOKUP('FLUXO DE CAIXA NOM.-S MULT. PAN'!$A19,'CAPEX - PAN S- MULT.'!$A$3:$AH$21,34,FALSE))</f>
        <v>-1248767.9980000001</v>
      </c>
      <c r="AJ19" s="1">
        <f>('RECEITAS - PAN'!AI19-'OPEX - PAN'!AI19-VLOOKUP('FLUXO DE CAIXA NOM.-S MULT. PAN'!$A19,'CAPEX - PAN S- MULT.'!$A$3:$AI$21,35,FALSE))</f>
        <v>-1311410.5752000001</v>
      </c>
      <c r="AK19" s="1">
        <f>VLOOKUP($A19,'RECEITAS - PAN'!$A$3:$AJ$21,36,FALSE)-VLOOKUP($A19,'OPEX - PAN'!$A$3:$AJ$21,36,FALSE)-VLOOKUP('FLUXO DE CAIXA NOM.-S MULT. PAN'!$A19,'CAPEX - PAN S- MULT.'!$A$3:$AJ$21,36,FALSE)</f>
        <v>-1248522.6543626986</v>
      </c>
      <c r="AL19" s="1">
        <f>VLOOKUP($A19,'RECEITAS - PAN'!$A$3:$AK$21,37,FALSE)-VLOOKUP($A19,'OPEX - PAN'!$A$3:$AK$21,37,FALSE)-VLOOKUP('FLUXO DE CAIXA NOM.-S MULT. PAN'!$A19,'CAPEX - PAN S- MULT.'!$A$3:$AK$21,37,FALSE)</f>
        <v>-1248351.9142756236</v>
      </c>
      <c r="AM19" s="31">
        <f t="shared" si="0"/>
        <v>-57300812.926138341</v>
      </c>
      <c r="AN19" s="17">
        <v>0</v>
      </c>
      <c r="AO19" s="17">
        <v>-8.8333333333333339</v>
      </c>
      <c r="AP19" s="17">
        <v>-36.466666666666669</v>
      </c>
      <c r="AQ19" s="16">
        <f>VLOOKUP(A19,'Projeção - Demanda PAX'!$A$3:E$22,5,FALSE)</f>
        <v>500</v>
      </c>
      <c r="AR19" s="16">
        <f>VLOOKUP(A19,'Projeção - Demanda PAX'!$A$3:$AG$22,33,FALSE)</f>
        <v>669</v>
      </c>
      <c r="AS19" s="28">
        <f t="shared" si="2"/>
        <v>-34284037.560300007</v>
      </c>
      <c r="AT19" s="3">
        <f>VLOOKUP(A19,'BASE PAN - CAPEX'!$A$3:$H$22,8,FALSE)</f>
        <v>0</v>
      </c>
    </row>
    <row r="20" spans="1:46" s="17" customFormat="1" x14ac:dyDescent="0.25">
      <c r="A20" s="17" t="s">
        <v>317</v>
      </c>
      <c r="B20" s="30" t="str">
        <f>VLOOKUP(A20,'CAPEX - Navegação Aérea'!$A$3:$B$22,2,FALSE)</f>
        <v>COMANDANTE ARISTON PESSOA</v>
      </c>
      <c r="C20" s="17">
        <f>VLOOKUP(A20,'[10]FLUXO DE CAIXA DESC.-BLOCOS PAN'!$A$3:$C$251,3,FALSE)</f>
        <v>230110</v>
      </c>
      <c r="D20" s="17" t="str">
        <f>VLOOKUP(A20,'[10]FLUXO DE CAIXA DESC.-BLOCOS PAN'!$A$3:$D$251,4,FALSE)</f>
        <v>SNAT230110</v>
      </c>
      <c r="E20" s="17" t="s">
        <v>318</v>
      </c>
      <c r="F20" s="17" t="s">
        <v>323</v>
      </c>
      <c r="G20" s="17" t="s">
        <v>126</v>
      </c>
      <c r="H20" s="17" t="s">
        <v>28</v>
      </c>
      <c r="I20" s="28">
        <f>('RECEITAS - PAN'!H20-'OPEX - PAN'!H20-VLOOKUP('FLUXO DE CAIXA NOM.-S MULT. PAN'!$A20,'CAPEX - PAN S- MULT.'!$A$3:$H$21,8,FALSE))</f>
        <v>-8742661.0719499998</v>
      </c>
      <c r="J20" s="28">
        <f>('RECEITAS - PAN'!I20-'OPEX - PAN'!I20-VLOOKUP('FLUXO DE CAIXA NOM.-S MULT. PAN'!$A20,'CAPEX - PAN S- MULT.'!$A$3:$I$21,9,FALSE))</f>
        <v>-8784496.8270455487</v>
      </c>
      <c r="K20" s="28">
        <f>('RECEITAS - PAN'!J20-'OPEX - PAN'!J20-VLOOKUP('FLUXO DE CAIXA NOM.-S MULT. PAN'!$A20,'CAPEX - PAN S- MULT.'!$A$3:$J$21,10,FALSE))</f>
        <v>-8707438.4864500016</v>
      </c>
      <c r="L20" s="28">
        <f>('RECEITAS - PAN'!K20-'OPEX - PAN'!K20-VLOOKUP('FLUXO DE CAIXA NOM.-S MULT. PAN'!$A20,'CAPEX - PAN S- MULT.'!$A$3:$K$21,11,FALSE))</f>
        <v>-4902544.3002455486</v>
      </c>
      <c r="M20" s="28">
        <f>('RECEITAS - PAN'!L20-'OPEX - PAN'!L20-VLOOKUP('FLUXO DE CAIXA NOM.-S MULT. PAN'!$A20,'CAPEX - PAN S- MULT.'!$A$3:$L$21,12,FALSE))</f>
        <v>-5053069.2231000001</v>
      </c>
      <c r="N20" s="28">
        <f>('RECEITAS - PAN'!M20-'OPEX - PAN'!M20-VLOOKUP('FLUXO DE CAIXA NOM.-S MULT. PAN'!$A20,'CAPEX - PAN S- MULT.'!$A$3:$M$21,13,FALSE))</f>
        <v>-4842609.8842455493</v>
      </c>
      <c r="O20" s="28">
        <f>('RECEITAS - PAN'!N20-'OPEX - PAN'!N20-VLOOKUP('FLUXO DE CAIXA NOM.-S MULT. PAN'!$A20,'CAPEX - PAN S- MULT.'!$A$3:$N$21,14,FALSE))</f>
        <v>-4754192.5508000003</v>
      </c>
      <c r="P20" s="28">
        <f>('RECEITAS - PAN'!O20-'OPEX - PAN'!O20-VLOOKUP('FLUXO DE CAIXA NOM.-S MULT. PAN'!$A20,'CAPEX - PAN S- MULT.'!$A$3:$O$21,15,FALSE))</f>
        <v>-5031945.8698455486</v>
      </c>
      <c r="Q20" s="28">
        <f>('RECEITAS - PAN'!P20-'OPEX - PAN'!P20-VLOOKUP('FLUXO DE CAIXA NOM.-S MULT. PAN'!$A20,'CAPEX - PAN S- MULT.'!$A$3:$P$21,16,FALSE))</f>
        <v>-4705548.4624000005</v>
      </c>
      <c r="R20" s="28">
        <f>('RECEITAS - PAN'!Q20-'OPEX - PAN'!Q20-VLOOKUP('FLUXO DE CAIXA NOM.-S MULT. PAN'!$A20,'CAPEX - PAN S- MULT.'!$A$3:$Q$21,17,FALSE))</f>
        <v>-13038813.233945549</v>
      </c>
      <c r="S20" s="28">
        <f>('RECEITAS - PAN'!R20-'OPEX - PAN'!R20-VLOOKUP('FLUXO DE CAIXA NOM.-S MULT. PAN'!$A20,'CAPEX - PAN S- MULT.'!$A$3:$R$21,18,FALSE))</f>
        <v>-4659224.7175999992</v>
      </c>
      <c r="T20" s="28">
        <f>('RECEITAS - PAN'!S20-'OPEX - PAN'!S20-VLOOKUP('FLUXO DE CAIXA NOM.-S MULT. PAN'!$A20,'CAPEX - PAN S- MULT.'!$A$3:$S$21,19,FALSE))</f>
        <v>-4696672.795045549</v>
      </c>
      <c r="U20" s="28">
        <f>('RECEITAS - PAN'!T20-'OPEX - PAN'!T20-VLOOKUP('FLUXO DE CAIXA NOM.-S MULT. PAN'!$A20,'CAPEX - PAN S- MULT.'!$A$3:$T$21,20,FALSE))</f>
        <v>-4612581.3550000004</v>
      </c>
      <c r="V20" s="28">
        <f>('RECEITAS - PAN'!U20-'OPEX - PAN'!U20-VLOOKUP('FLUXO DE CAIXA NOM.-S MULT. PAN'!$A20,'CAPEX - PAN S- MULT.'!$A$3:$U$21,21,FALSE))</f>
        <v>-4650245.7269455483</v>
      </c>
      <c r="W20" s="28">
        <f>('RECEITAS - PAN'!V20-'OPEX - PAN'!V20-VLOOKUP('FLUXO DE CAIXA NOM.-S MULT. PAN'!$A20,'CAPEX - PAN S- MULT.'!$A$3:$V$21,22,FALSE))</f>
        <v>-12653574.602299999</v>
      </c>
      <c r="X20" s="28">
        <f>('RECEITAS - PAN'!W20-'OPEX - PAN'!W20-VLOOKUP('FLUXO DE CAIXA NOM.-S MULT. PAN'!$A20,'CAPEX - PAN S- MULT.'!$A$3:$W$21,23,FALSE))</f>
        <v>-4602921.6193455486</v>
      </c>
      <c r="Y20" s="28">
        <f>('RECEITAS - PAN'!X20-'OPEX - PAN'!X20-VLOOKUP('FLUXO DE CAIXA NOM.-S MULT. PAN'!$A20,'CAPEX - PAN S- MULT.'!$A$3:$X$21,24,FALSE))</f>
        <v>-4517582.6349999998</v>
      </c>
      <c r="Z20" s="28">
        <f>('RECEITAS - PAN'!Y20-'OPEX - PAN'!Y20-VLOOKUP('FLUXO DE CAIXA NOM.-S MULT. PAN'!$A20,'CAPEX - PAN S- MULT.'!$A$3:$Y$21,25,FALSE))</f>
        <v>-4795984.8380455496</v>
      </c>
      <c r="AA20" s="28">
        <f>('RECEITAS - PAN'!Z20-'OPEX - PAN'!Z20-VLOOKUP('FLUXO DE CAIXA NOM.-S MULT. PAN'!$A20,'CAPEX - PAN S- MULT.'!$A$3:$Z$21,26,FALSE))</f>
        <v>-4469068.9067000002</v>
      </c>
      <c r="AB20" s="28">
        <f>('RECEITAS - PAN'!AA20-'OPEX - PAN'!AA20-VLOOKUP('FLUXO DE CAIXA NOM.-S MULT. PAN'!$A20,'CAPEX - PAN S- MULT.'!$A$3:$AA$21,27,FALSE))</f>
        <v>-12801446.286845548</v>
      </c>
      <c r="AC20" s="28">
        <f>('RECEITAS - PAN'!AB20-'OPEX - PAN'!AB20-VLOOKUP('FLUXO DE CAIXA NOM.-S MULT. PAN'!$A20,'CAPEX - PAN S- MULT.'!$A$3:$AB$21,28,FALSE))</f>
        <v>-4420911.4813000001</v>
      </c>
      <c r="AD20" s="28">
        <f>('RECEITAS - PAN'!AC20-'OPEX - PAN'!AC20-VLOOKUP('FLUXO DE CAIXA NOM.-S MULT. PAN'!$A20,'CAPEX - PAN S- MULT.'!$A$3:$AC$21,29,FALSE))</f>
        <v>-4457899.9325455492</v>
      </c>
      <c r="AE20" s="28">
        <f>('RECEITAS - PAN'!AD20-'OPEX - PAN'!AD20-VLOOKUP('FLUXO DE CAIXA NOM.-S MULT. PAN'!$A20,'CAPEX - PAN S- MULT.'!$A$3:$AD$21,30,FALSE))</f>
        <v>-4373213.6820999999</v>
      </c>
      <c r="AF20" s="28">
        <f>('RECEITAS - PAN'!AE20-'OPEX - PAN'!AE20-VLOOKUP('FLUXO DE CAIXA NOM.-S MULT. PAN'!$A20,'CAPEX - PAN S- MULT.'!$A$3:$AE$21,31,FALSE))</f>
        <v>-4410305.4565455494</v>
      </c>
      <c r="AG20" s="28">
        <f>('RECEITAS - PAN'!AF20-'OPEX - PAN'!AF20-VLOOKUP('FLUXO DE CAIXA NOM.-S MULT. PAN'!$A20,'CAPEX - PAN S- MULT.'!$A$3:$AF$21,32,FALSE))</f>
        <v>-4568475.5583999995</v>
      </c>
      <c r="AH20" s="28">
        <f>('RECEITAS - PAN'!AG20-'OPEX - PAN'!AG20-VLOOKUP('FLUXO DE CAIXA NOM.-S MULT. PAN'!$A20,'CAPEX - PAN S- MULT.'!$A$3:$AG$21,33,FALSE))</f>
        <v>-4364256.9041455491</v>
      </c>
      <c r="AI20" s="28">
        <f>('RECEITAS - PAN'!AH20-'OPEX - PAN'!AH20-VLOOKUP('FLUXO DE CAIXA NOM.-S MULT. PAN'!$A20,'CAPEX - PAN S- MULT.'!$A$3:$AH$21,34,FALSE))</f>
        <v>-4279841.0220999997</v>
      </c>
      <c r="AJ20" s="28">
        <f>('RECEITAS - PAN'!AI20-'OPEX - PAN'!AI20-VLOOKUP('FLUXO DE CAIXA NOM.-S MULT. PAN'!$A20,'CAPEX - PAN S- MULT.'!$A$3:$AI$21,35,FALSE))</f>
        <v>-4559032.117445549</v>
      </c>
      <c r="AK20" s="28">
        <f>VLOOKUP($A20,'RECEITAS - PAN'!$A$3:$AJ$21,36,FALSE)-VLOOKUP($A20,'OPEX - PAN'!$A$3:$AJ$21,36,FALSE)-VLOOKUP('FLUXO DE CAIXA NOM.-S MULT. PAN'!$A20,'CAPEX - PAN S- MULT.'!$A$3:$AJ$21,36,FALSE)</f>
        <v>-4222754.2779984148</v>
      </c>
      <c r="AL20" s="28">
        <f>VLOOKUP($A20,'RECEITAS - PAN'!$A$3:$AK$21,37,FALSE)-VLOOKUP($A20,'OPEX - PAN'!$A$3:$AK$21,37,FALSE)-VLOOKUP('FLUXO DE CAIXA NOM.-S MULT. PAN'!$A20,'CAPEX - PAN S- MULT.'!$A$3:$AK$21,37,FALSE)</f>
        <v>-4261904.6305675469</v>
      </c>
      <c r="AM20" s="31">
        <f t="shared" si="0"/>
        <v>-174941218.4560037</v>
      </c>
      <c r="AN20" s="17">
        <v>0</v>
      </c>
      <c r="AO20" s="17">
        <v>-4.5666666666666664</v>
      </c>
      <c r="AP20" s="17">
        <v>-37.799999999999997</v>
      </c>
      <c r="AQ20" s="16">
        <f>VLOOKUP(A20,'Projeção - Demanda PAX'!$A$3:E$22,5,FALSE)</f>
        <v>21939</v>
      </c>
      <c r="AR20" s="16">
        <f>VLOOKUP(A20,'Projeção - Demanda PAX'!$A$3:$AG$22,33,FALSE)</f>
        <v>49700</v>
      </c>
      <c r="AS20" s="28">
        <f t="shared" si="2"/>
        <v>-99835619.106918871</v>
      </c>
      <c r="AT20" s="3">
        <f>VLOOKUP(A20,'BASE PAN - CAPEX'!$A$3:$H$22,8,FALSE)</f>
        <v>3</v>
      </c>
    </row>
    <row r="21" spans="1:46" s="17" customFormat="1" x14ac:dyDescent="0.25">
      <c r="A21" s="17" t="s">
        <v>321</v>
      </c>
      <c r="B21" s="30" t="str">
        <f>VLOOKUP(A21,'CAPEX - Navegação Aérea'!$A$3:$B$22,2,FALSE)</f>
        <v>AEROPORTO REGIONAL DE CANOA QUEBRADA DRAGÃO DO MAR</v>
      </c>
      <c r="C21" s="17">
        <f>VLOOKUP(A21,'[10]FLUXO DE CAIXA DESC.-BLOCOS PAN'!$A$3:$C$251,3,FALSE)</f>
        <v>230425</v>
      </c>
      <c r="D21" s="17" t="str">
        <f>VLOOKUP(A21,'[10]FLUXO DE CAIXA DESC.-BLOCOS PAN'!$A$3:$D$251,4,FALSE)</f>
        <v>SBJE230425</v>
      </c>
      <c r="E21" s="17" t="s">
        <v>322</v>
      </c>
      <c r="F21" s="17" t="s">
        <v>323</v>
      </c>
      <c r="G21" s="17" t="s">
        <v>126</v>
      </c>
      <c r="H21" s="17" t="s">
        <v>28</v>
      </c>
      <c r="I21" s="28">
        <f>('RECEITAS - PAN'!H21-'OPEX - PAN'!H21-VLOOKUP('FLUXO DE CAIXA NOM.-S MULT. PAN'!$A21,'CAPEX - PAN S- MULT.'!$A$3:$H$21,8,FALSE))</f>
        <v>-36599834.937399998</v>
      </c>
      <c r="J21" s="28">
        <f>('RECEITAS - PAN'!I21-'OPEX - PAN'!I21-VLOOKUP('FLUXO DE CAIXA NOM.-S MULT. PAN'!$A21,'CAPEX - PAN S- MULT.'!$A$3:$I$21,9,FALSE))</f>
        <v>-9893317.4093546234</v>
      </c>
      <c r="K21" s="28">
        <f>('RECEITAS - PAN'!J21-'OPEX - PAN'!J21-VLOOKUP('FLUXO DE CAIXA NOM.-S MULT. PAN'!$A21,'CAPEX - PAN S- MULT.'!$A$3:$J$21,10,FALSE))</f>
        <v>-9670649.6213000007</v>
      </c>
      <c r="L21" s="28">
        <f>('RECEITAS - PAN'!K21-'OPEX - PAN'!K21-VLOOKUP('FLUXO DE CAIXA NOM.-S MULT. PAN'!$A21,'CAPEX - PAN S- MULT.'!$A$3:$K$21,11,FALSE))</f>
        <v>300355.35989537521</v>
      </c>
      <c r="M21" s="28">
        <f>('RECEITAS - PAN'!L21-'OPEX - PAN'!L21-VLOOKUP('FLUXO DE CAIXA NOM.-S MULT. PAN'!$A21,'CAPEX - PAN S- MULT.'!$A$3:$L$21,12,FALSE))</f>
        <v>305858.67730000091</v>
      </c>
      <c r="N21" s="28">
        <f>('RECEITAS - PAN'!M21-'OPEX - PAN'!M21-VLOOKUP('FLUXO DE CAIXA NOM.-S MULT. PAN'!$A21,'CAPEX - PAN S- MULT.'!$A$3:$M$21,13,FALSE))</f>
        <v>825857.22709537542</v>
      </c>
      <c r="O21" s="28">
        <f>('RECEITAS - PAN'!N21-'OPEX - PAN'!N21-VLOOKUP('FLUXO DE CAIXA NOM.-S MULT. PAN'!$A21,'CAPEX - PAN S- MULT.'!$A$3:$N$21,14,FALSE))</f>
        <v>1128089.2770999996</v>
      </c>
      <c r="P21" s="28">
        <f>('RECEITAS - PAN'!O21-'OPEX - PAN'!O21-VLOOKUP('FLUXO DE CAIXA NOM.-S MULT. PAN'!$A21,'CAPEX - PAN S- MULT.'!$A$3:$O$21,15,FALSE))</f>
        <v>926306.67439537682</v>
      </c>
      <c r="Q21" s="28">
        <f>('RECEITAS - PAN'!P21-'OPEX - PAN'!P21-VLOOKUP('FLUXO DE CAIXA NOM.-S MULT. PAN'!$A21,'CAPEX - PAN S- MULT.'!$A$3:$P$21,16,FALSE))</f>
        <v>1519251.3902000003</v>
      </c>
      <c r="R21" s="28">
        <f>('RECEITAS - PAN'!Q21-'OPEX - PAN'!Q21-VLOOKUP('FLUXO DE CAIXA NOM.-S MULT. PAN'!$A21,'CAPEX - PAN S- MULT.'!$A$3:$Q$21,17,FALSE))</f>
        <v>-11946461.878204621</v>
      </c>
      <c r="S21" s="28">
        <f>('RECEITAS - PAN'!R21-'OPEX - PAN'!R21-VLOOKUP('FLUXO DE CAIXA NOM.-S MULT. PAN'!$A21,'CAPEX - PAN S- MULT.'!$A$3:$R$21,18,FALSE))</f>
        <v>1878783.1289000008</v>
      </c>
      <c r="T21" s="28">
        <f>('RECEITAS - PAN'!S21-'OPEX - PAN'!S21-VLOOKUP('FLUXO DE CAIXA NOM.-S MULT. PAN'!$A21,'CAPEX - PAN S- MULT.'!$A$3:$S$21,19,FALSE))</f>
        <v>1988255.0416953764</v>
      </c>
      <c r="U21" s="28">
        <f>('RECEITAS - PAN'!T21-'OPEX - PAN'!T21-VLOOKUP('FLUXO DE CAIXA NOM.-S MULT. PAN'!$A21,'CAPEX - PAN S- MULT.'!$A$3:$T$21,20,FALSE))</f>
        <v>2233142.9463999998</v>
      </c>
      <c r="V21" s="28">
        <f>('RECEITAS - PAN'!U21-'OPEX - PAN'!U21-VLOOKUP('FLUXO DE CAIXA NOM.-S MULT. PAN'!$A21,'CAPEX - PAN S- MULT.'!$A$3:$U$21,21,FALSE))</f>
        <v>2337546.610995376</v>
      </c>
      <c r="W21" s="28">
        <f>('RECEITAS - PAN'!V21-'OPEX - PAN'!V21-VLOOKUP('FLUXO DE CAIXA NOM.-S MULT. PAN'!$A21,'CAPEX - PAN S- MULT.'!$A$3:$V$21,22,FALSE))</f>
        <v>-15141071.496400001</v>
      </c>
      <c r="X21" s="28">
        <f>('RECEITAS - PAN'!W21-'OPEX - PAN'!W21-VLOOKUP('FLUXO DE CAIXA NOM.-S MULT. PAN'!$A21,'CAPEX - PAN S- MULT.'!$A$3:$W$21,23,FALSE))</f>
        <v>2684929.5739953755</v>
      </c>
      <c r="Y21" s="28">
        <f>('RECEITAS - PAN'!X21-'OPEX - PAN'!X21-VLOOKUP('FLUXO DE CAIXA NOM.-S MULT. PAN'!$A21,'CAPEX - PAN S- MULT.'!$A$3:$X$21,24,FALSE))</f>
        <v>2932330.5905000009</v>
      </c>
      <c r="Z21" s="28">
        <f>('RECEITAS - PAN'!Y21-'OPEX - PAN'!Y21-VLOOKUP('FLUXO DE CAIXA NOM.-S MULT. PAN'!$A21,'CAPEX - PAN S- MULT.'!$A$3:$Y$21,25,FALSE))</f>
        <v>2700657.0232953755</v>
      </c>
      <c r="AA21" s="28">
        <f>('RECEITAS - PAN'!Z21-'OPEX - PAN'!Z21-VLOOKUP('FLUXO DE CAIXA NOM.-S MULT. PAN'!$A21,'CAPEX - PAN S- MULT.'!$A$3:$Z$21,26,FALSE))</f>
        <v>3275108.4066000003</v>
      </c>
      <c r="AB21" s="28">
        <f>('RECEITAS - PAN'!AA21-'OPEX - PAN'!AA21-VLOOKUP('FLUXO DE CAIXA NOM.-S MULT. PAN'!$A21,'CAPEX - PAN S- MULT.'!$A$3:$AA$21,27,FALSE))</f>
        <v>-10205366.421304623</v>
      </c>
      <c r="AC21" s="28">
        <f>('RECEITAS - PAN'!AB21-'OPEX - PAN'!AB21-VLOOKUP('FLUXO DE CAIXA NOM.-S MULT. PAN'!$A21,'CAPEX - PAN S- MULT.'!$A$3:$AB$21,28,FALSE))</f>
        <v>3603604.6267000008</v>
      </c>
      <c r="AD21" s="28">
        <f>('RECEITAS - PAN'!AC21-'OPEX - PAN'!AC21-VLOOKUP('FLUXO DE CAIXA NOM.-S MULT. PAN'!$A21,'CAPEX - PAN S- MULT.'!$A$3:$AC$21,29,FALSE))</f>
        <v>3683999.5576953753</v>
      </c>
      <c r="AE21" s="28">
        <f>('RECEITAS - PAN'!AD21-'OPEX - PAN'!AD21-VLOOKUP('FLUXO DE CAIXA NOM.-S MULT. PAN'!$A21,'CAPEX - PAN S- MULT.'!$A$3:$AD$21,30,FALSE))</f>
        <v>3899175.6305999998</v>
      </c>
      <c r="AF21" s="28">
        <f>('RECEITAS - PAN'!AE21-'OPEX - PAN'!AE21-VLOOKUP('FLUXO DE CAIXA NOM.-S MULT. PAN'!$A21,'CAPEX - PAN S- MULT.'!$A$3:$AE$21,31,FALSE))</f>
        <v>3969849.1803953755</v>
      </c>
      <c r="AG21" s="28">
        <f>('RECEITAS - PAN'!AF21-'OPEX - PAN'!AF21-VLOOKUP('FLUXO DE CAIXA NOM.-S MULT. PAN'!$A21,'CAPEX - PAN S- MULT.'!$A$3:$AF$21,32,FALSE))</f>
        <v>3834371.984900001</v>
      </c>
      <c r="AH21" s="28">
        <f>('RECEITAS - PAN'!AG21-'OPEX - PAN'!AG21-VLOOKUP('FLUXO DE CAIXA NOM.-S MULT. PAN'!$A21,'CAPEX - PAN S- MULT.'!$A$3:$AG$21,33,FALSE))</f>
        <v>4226465.8412953764</v>
      </c>
      <c r="AI21" s="28">
        <f>('RECEITAS - PAN'!AH21-'OPEX - PAN'!AH21-VLOOKUP('FLUXO DE CAIXA NOM.-S MULT. PAN'!$A21,'CAPEX - PAN S- MULT.'!$A$3:$AH$21,34,FALSE))</f>
        <v>4427298.3374999985</v>
      </c>
      <c r="AJ21" s="28">
        <f>('RECEITAS - PAN'!AI21-'OPEX - PAN'!AI21-VLOOKUP('FLUXO DE CAIXA NOM.-S MULT. PAN'!$A21,'CAPEX - PAN S- MULT.'!$A$3:$AI$21,35,FALSE))</f>
        <v>4149798.0892953752</v>
      </c>
      <c r="AK21" s="28">
        <f>VLOOKUP($A21,'RECEITAS - PAN'!$A$3:$AJ$21,36,FALSE)-VLOOKUP($A21,'OPEX - PAN'!$A$3:$AJ$21,36,FALSE)-VLOOKUP('FLUXO DE CAIXA NOM.-S MULT. PAN'!$A21,'CAPEX - PAN S- MULT.'!$A$3:$AJ$21,36,FALSE)</f>
        <v>5020147.0931476355</v>
      </c>
      <c r="AL21" s="28">
        <f>VLOOKUP($A21,'RECEITAS - PAN'!$A$3:$AK$21,37,FALSE)-VLOOKUP($A21,'OPEX - PAN'!$A$3:$AK$21,37,FALSE)-VLOOKUP('FLUXO DE CAIXA NOM.-S MULT. PAN'!$A21,'CAPEX - PAN S- MULT.'!$A$3:$AK$21,37,FALSE)</f>
        <v>5088203.4190363139</v>
      </c>
      <c r="AM21" s="31">
        <f t="shared" si="0"/>
        <v>-26517316.075030811</v>
      </c>
      <c r="AN21" s="17">
        <v>0</v>
      </c>
      <c r="AO21" s="17">
        <v>-2.9</v>
      </c>
      <c r="AP21" s="17">
        <v>-40.35</v>
      </c>
      <c r="AQ21" s="16">
        <f>VLOOKUP(A21,'Projeção - Demanda PAX'!$A$3:E$22,5,FALSE)</f>
        <v>210938</v>
      </c>
      <c r="AR21" s="16">
        <f>VLOOKUP(A21,'Projeção - Demanda PAX'!$A$3:$AG$22,33,FALSE)</f>
        <v>407604</v>
      </c>
      <c r="AS21" s="28">
        <f t="shared" si="2"/>
        <v>-69807889.00868237</v>
      </c>
      <c r="AT21" s="3">
        <f>VLOOKUP(A21,'BASE PAN - CAPEX'!$A$3:$H$22,8,FALSE)</f>
        <v>4</v>
      </c>
    </row>
    <row r="22" spans="1:46" x14ac:dyDescent="0.25">
      <c r="B22" s="5"/>
      <c r="C22" s="5"/>
      <c r="D22" s="5"/>
      <c r="H22" s="15" t="s">
        <v>121</v>
      </c>
      <c r="I22" s="7">
        <f t="shared" ref="I22:AL22" si="3">SUBTOTAL(109,I3:I21)</f>
        <v>-289018313.91485006</v>
      </c>
      <c r="J22" s="7">
        <f t="shared" si="3"/>
        <v>-197277970.2859118</v>
      </c>
      <c r="K22" s="7">
        <f t="shared" si="3"/>
        <v>-195794268.55969998</v>
      </c>
      <c r="L22" s="7">
        <f t="shared" si="3"/>
        <v>-37172429.845611781</v>
      </c>
      <c r="M22" s="7">
        <f t="shared" si="3"/>
        <v>-38874695.69600001</v>
      </c>
      <c r="N22" s="7">
        <f t="shared" si="3"/>
        <v>-35242026.167611778</v>
      </c>
      <c r="O22" s="7">
        <f t="shared" si="3"/>
        <v>-33405510.898200002</v>
      </c>
      <c r="P22" s="7">
        <f t="shared" si="3"/>
        <v>-37134519.454011783</v>
      </c>
      <c r="Q22" s="7">
        <f t="shared" si="3"/>
        <v>-31822466.362399995</v>
      </c>
      <c r="R22" s="7">
        <f t="shared" si="3"/>
        <v>-187433421.11141178</v>
      </c>
      <c r="S22" s="7">
        <f t="shared" si="3"/>
        <v>-30312140.763999999</v>
      </c>
      <c r="T22" s="7">
        <f t="shared" si="3"/>
        <v>-30454349.992511783</v>
      </c>
      <c r="U22" s="7">
        <f t="shared" si="3"/>
        <v>-28780904.913700007</v>
      </c>
      <c r="V22" s="7">
        <f t="shared" si="3"/>
        <v>-28959996.821811792</v>
      </c>
      <c r="W22" s="7">
        <f t="shared" si="3"/>
        <v>-146073729.28979999</v>
      </c>
      <c r="X22" s="7">
        <f t="shared" si="3"/>
        <v>-27411379.811811782</v>
      </c>
      <c r="Y22" s="7">
        <f t="shared" si="3"/>
        <v>-25681085.797199998</v>
      </c>
      <c r="Z22" s="7">
        <f t="shared" si="3"/>
        <v>-29453908.751211781</v>
      </c>
      <c r="AA22" s="7">
        <f t="shared" si="3"/>
        <v>-24099507.552499995</v>
      </c>
      <c r="AB22" s="7">
        <f t="shared" si="3"/>
        <v>-179709707.31621173</v>
      </c>
      <c r="AC22" s="7">
        <f t="shared" si="3"/>
        <v>-22525748.874899998</v>
      </c>
      <c r="AD22" s="7">
        <f t="shared" si="3"/>
        <v>-22729409.101511784</v>
      </c>
      <c r="AE22" s="7">
        <f t="shared" si="3"/>
        <v>-21046345.615900002</v>
      </c>
      <c r="AF22" s="7">
        <f t="shared" si="3"/>
        <v>-21255385.355811782</v>
      </c>
      <c r="AG22" s="7">
        <f t="shared" si="3"/>
        <v>-23231337.912300002</v>
      </c>
      <c r="AH22" s="7">
        <f t="shared" si="3"/>
        <v>-19836101.594611783</v>
      </c>
      <c r="AI22" s="7">
        <f t="shared" si="3"/>
        <v>-18181207.289099991</v>
      </c>
      <c r="AJ22" s="7">
        <f t="shared" si="3"/>
        <v>-22020419.905411776</v>
      </c>
      <c r="AK22" s="7">
        <f t="shared" si="3"/>
        <v>-16203058.364954758</v>
      </c>
      <c r="AL22" s="7">
        <f t="shared" si="3"/>
        <v>-16451410.797140196</v>
      </c>
      <c r="AM22" s="12">
        <f>SUBTOTAL(109,AM3:AM21)</f>
        <v>-1837592758.1181099</v>
      </c>
      <c r="AQ22" s="25">
        <f>SUBTOTAL(109,AQ3:AQ21)</f>
        <v>670010</v>
      </c>
      <c r="AR22" s="25">
        <f>SUBTOTAL(109,AR3:AR21)</f>
        <v>1514054.5</v>
      </c>
      <c r="AS22" s="27">
        <f>SUBTOTAL(109,AS3:AS21)</f>
        <v>-1347756744.0775328</v>
      </c>
    </row>
    <row r="23" spans="1:46" x14ac:dyDescent="0.25">
      <c r="B23" s="5"/>
      <c r="C23" s="5"/>
      <c r="D23" s="5"/>
      <c r="E23" s="15"/>
      <c r="H23" s="15" t="s">
        <v>160</v>
      </c>
      <c r="I23" s="7">
        <f>I22</f>
        <v>-289018313.91485006</v>
      </c>
      <c r="J23" s="7">
        <f t="shared" ref="J23:AL23" si="4">J22+I23</f>
        <v>-486296284.20076185</v>
      </c>
      <c r="K23" s="7">
        <f t="shared" si="4"/>
        <v>-682090552.76046181</v>
      </c>
      <c r="L23" s="7">
        <f t="shared" si="4"/>
        <v>-719262982.60607362</v>
      </c>
      <c r="M23" s="7">
        <f t="shared" si="4"/>
        <v>-758137678.3020736</v>
      </c>
      <c r="N23" s="7">
        <f t="shared" si="4"/>
        <v>-793379704.46968532</v>
      </c>
      <c r="O23" s="7">
        <f t="shared" si="4"/>
        <v>-826785215.36788535</v>
      </c>
      <c r="P23" s="7">
        <f t="shared" si="4"/>
        <v>-863919734.82189715</v>
      </c>
      <c r="Q23" s="7">
        <f t="shared" si="4"/>
        <v>-895742201.18429708</v>
      </c>
      <c r="R23" s="7">
        <f t="shared" si="4"/>
        <v>-1083175622.2957089</v>
      </c>
      <c r="S23" s="7">
        <f t="shared" si="4"/>
        <v>-1113487763.0597088</v>
      </c>
      <c r="T23" s="7">
        <f t="shared" si="4"/>
        <v>-1143942113.0522206</v>
      </c>
      <c r="U23" s="7">
        <f t="shared" si="4"/>
        <v>-1172723017.9659207</v>
      </c>
      <c r="V23" s="7">
        <f t="shared" si="4"/>
        <v>-1201683014.7877324</v>
      </c>
      <c r="W23" s="7">
        <f t="shared" si="4"/>
        <v>-1347756744.0775323</v>
      </c>
      <c r="X23" s="7">
        <f t="shared" si="4"/>
        <v>-1375168123.889344</v>
      </c>
      <c r="Y23" s="7">
        <f t="shared" si="4"/>
        <v>-1400849209.6865439</v>
      </c>
      <c r="Z23" s="7">
        <f t="shared" si="4"/>
        <v>-1430303118.4377558</v>
      </c>
      <c r="AA23" s="7">
        <f t="shared" si="4"/>
        <v>-1454402625.9902558</v>
      </c>
      <c r="AB23" s="7">
        <f t="shared" si="4"/>
        <v>-1634112333.3064675</v>
      </c>
      <c r="AC23" s="7">
        <f t="shared" si="4"/>
        <v>-1656638082.1813676</v>
      </c>
      <c r="AD23" s="7">
        <f t="shared" si="4"/>
        <v>-1679367491.2828794</v>
      </c>
      <c r="AE23" s="7">
        <f t="shared" si="4"/>
        <v>-1700413836.8987794</v>
      </c>
      <c r="AF23" s="7">
        <f t="shared" si="4"/>
        <v>-1721669222.2545912</v>
      </c>
      <c r="AG23" s="7">
        <f t="shared" si="4"/>
        <v>-1744900560.1668913</v>
      </c>
      <c r="AH23" s="7">
        <f t="shared" si="4"/>
        <v>-1764736661.7615032</v>
      </c>
      <c r="AI23" s="7">
        <f t="shared" si="4"/>
        <v>-1782917869.0506032</v>
      </c>
      <c r="AJ23" s="7">
        <f t="shared" si="4"/>
        <v>-1804938288.9560149</v>
      </c>
      <c r="AK23" s="7">
        <f t="shared" si="4"/>
        <v>-1821141347.3209696</v>
      </c>
      <c r="AL23" s="7">
        <f t="shared" si="4"/>
        <v>-1837592758.1181097</v>
      </c>
      <c r="AM23" s="12"/>
      <c r="AS23" s="1"/>
    </row>
    <row r="24" spans="1:46" x14ac:dyDescent="0.25"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</row>
    <row r="25" spans="1:46" x14ac:dyDescent="0.25">
      <c r="H25" s="1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46" x14ac:dyDescent="0.25">
      <c r="A26" s="2"/>
      <c r="B26" s="14"/>
      <c r="C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8" spans="1:46" x14ac:dyDescent="0.25">
      <c r="A28" s="23" t="s">
        <v>146</v>
      </c>
      <c r="E28" s="23"/>
    </row>
    <row r="29" spans="1:46" x14ac:dyDescent="0.25">
      <c r="E29" s="23"/>
    </row>
  </sheetData>
  <autoFilter ref="A2:AS23" xr:uid="{93480331-7698-4CEE-AA35-2C1F21871304}"/>
  <conditionalFormatting sqref="D16">
    <cfRule type="duplicateValues" dxfId="9" priority="398"/>
  </conditionalFormatting>
  <hyperlinks>
    <hyperlink ref="A28" location="Introdução!A1" display="Introdução!A1" xr:uid="{AAED809D-BD66-416E-8F74-9106AE81C42B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5A46-CD5B-4285-A409-E0712D1341E3}">
  <sheetPr>
    <tabColor theme="7" tint="-0.249977111117893"/>
  </sheetPr>
  <dimension ref="A1:ED28"/>
  <sheetViews>
    <sheetView workbookViewId="0">
      <pane xSplit="5" ySplit="17" topLeftCell="DS18" activePane="bottomRight" state="frozen"/>
      <selection pane="topRight" activeCell="F1" sqref="F1"/>
      <selection pane="bottomLeft" activeCell="A18" sqref="A18"/>
      <selection pane="bottomRight"/>
    </sheetView>
  </sheetViews>
  <sheetFormatPr defaultRowHeight="15" x14ac:dyDescent="0.25"/>
  <cols>
    <col min="1" max="1" width="13.7109375" bestFit="1" customWidth="1"/>
    <col min="2" max="2" width="57.42578125" bestFit="1" customWidth="1"/>
    <col min="3" max="3" width="12" customWidth="1"/>
    <col min="4" max="4" width="12.42578125" customWidth="1"/>
    <col min="5" max="5" width="23.5703125" customWidth="1"/>
    <col min="6" max="6" width="7.85546875" customWidth="1"/>
    <col min="7" max="7" width="28.7109375" customWidth="1"/>
    <col min="8" max="8" width="18.140625" customWidth="1"/>
    <col min="9" max="10" width="17" customWidth="1"/>
    <col min="11" max="12" width="18.140625" customWidth="1"/>
    <col min="13" max="14" width="17" customWidth="1"/>
    <col min="15" max="16" width="18.140625" customWidth="1"/>
    <col min="17" max="18" width="17" customWidth="1"/>
    <col min="19" max="19" width="18.140625" customWidth="1"/>
    <col min="20" max="20" width="14.42578125" customWidth="1"/>
    <col min="21" max="22" width="17" customWidth="1"/>
    <col min="23" max="23" width="18.140625" customWidth="1"/>
    <col min="24" max="24" width="16" customWidth="1"/>
    <col min="25" max="26" width="17" customWidth="1"/>
    <col min="27" max="27" width="19.7109375" customWidth="1"/>
    <col min="28" max="28" width="14.42578125" customWidth="1"/>
    <col min="29" max="30" width="17" customWidth="1"/>
    <col min="31" max="31" width="19.7109375" customWidth="1"/>
    <col min="32" max="32" width="7.85546875" customWidth="1"/>
    <col min="33" max="34" width="17" customWidth="1"/>
    <col min="35" max="35" width="19.7109375" customWidth="1"/>
    <col min="36" max="36" width="16" customWidth="1"/>
    <col min="37" max="38" width="17" customWidth="1"/>
    <col min="39" max="39" width="19.7109375" customWidth="1"/>
    <col min="40" max="40" width="7.85546875" customWidth="1"/>
    <col min="41" max="42" width="17" customWidth="1"/>
    <col min="43" max="43" width="19.7109375" customWidth="1"/>
    <col min="44" max="44" width="18.140625" customWidth="1"/>
    <col min="45" max="46" width="17" customWidth="1"/>
    <col min="47" max="47" width="19.7109375" customWidth="1"/>
    <col min="48" max="48" width="7.85546875" customWidth="1"/>
    <col min="49" max="50" width="17" customWidth="1"/>
    <col min="51" max="51" width="19.7109375" customWidth="1"/>
    <col min="52" max="52" width="14.42578125" customWidth="1"/>
    <col min="53" max="54" width="17" customWidth="1"/>
    <col min="55" max="55" width="19.7109375" customWidth="1"/>
    <col min="56" max="56" width="7.85546875" customWidth="1"/>
    <col min="57" max="58" width="17" customWidth="1"/>
    <col min="59" max="59" width="19.7109375" customWidth="1"/>
    <col min="60" max="60" width="14.42578125" customWidth="1"/>
    <col min="61" max="62" width="17" customWidth="1"/>
    <col min="63" max="63" width="19.7109375" customWidth="1"/>
    <col min="64" max="64" width="18.140625" customWidth="1"/>
    <col min="65" max="66" width="17" customWidth="1"/>
    <col min="67" max="67" width="19.7109375" customWidth="1"/>
    <col min="68" max="68" width="14.42578125" customWidth="1"/>
    <col min="69" max="70" width="17" customWidth="1"/>
    <col min="71" max="71" width="19.7109375" customWidth="1"/>
    <col min="72" max="72" width="7.85546875" customWidth="1"/>
    <col min="73" max="74" width="17" customWidth="1"/>
    <col min="75" max="75" width="19.7109375" customWidth="1"/>
    <col min="76" max="76" width="16" customWidth="1"/>
    <col min="77" max="78" width="17" customWidth="1"/>
    <col min="79" max="79" width="19.7109375" customWidth="1"/>
    <col min="80" max="80" width="7.85546875" customWidth="1"/>
    <col min="81" max="82" width="17" customWidth="1"/>
    <col min="83" max="83" width="19.7109375" customWidth="1"/>
    <col min="84" max="84" width="18.140625" customWidth="1"/>
    <col min="85" max="86" width="17" customWidth="1"/>
    <col min="87" max="87" width="19.7109375" customWidth="1"/>
    <col min="88" max="88" width="7.85546875" customWidth="1"/>
    <col min="89" max="90" width="17" customWidth="1"/>
    <col min="91" max="91" width="19.7109375" customWidth="1"/>
    <col min="92" max="92" width="14.42578125" customWidth="1"/>
    <col min="93" max="94" width="17" customWidth="1"/>
    <col min="95" max="95" width="19.7109375" customWidth="1"/>
    <col min="96" max="96" width="7.85546875" customWidth="1"/>
    <col min="97" max="98" width="17" customWidth="1"/>
    <col min="99" max="99" width="19.7109375" customWidth="1"/>
    <col min="100" max="100" width="14.42578125" customWidth="1"/>
    <col min="101" max="102" width="17" customWidth="1"/>
    <col min="103" max="103" width="19.7109375" customWidth="1"/>
    <col min="104" max="104" width="16" customWidth="1"/>
    <col min="105" max="106" width="17" customWidth="1"/>
    <col min="107" max="107" width="19.7109375" customWidth="1"/>
    <col min="108" max="108" width="14.42578125" customWidth="1"/>
    <col min="109" max="110" width="17" customWidth="1"/>
    <col min="111" max="111" width="19.7109375" customWidth="1"/>
    <col min="112" max="112" width="7.85546875" customWidth="1"/>
    <col min="113" max="114" width="17" customWidth="1"/>
    <col min="115" max="115" width="19.7109375" customWidth="1"/>
    <col min="116" max="116" width="16" customWidth="1"/>
    <col min="117" max="118" width="17" customWidth="1"/>
    <col min="119" max="119" width="19.7109375" customWidth="1"/>
    <col min="120" max="120" width="7.85546875" customWidth="1"/>
    <col min="121" max="122" width="17" customWidth="1"/>
    <col min="123" max="123" width="19.7109375" customWidth="1"/>
    <col min="124" max="124" width="14.42578125" customWidth="1"/>
    <col min="125" max="126" width="17" customWidth="1"/>
    <col min="127" max="130" width="19.7109375" customWidth="1"/>
    <col min="131" max="131" width="19" customWidth="1"/>
    <col min="132" max="132" width="10.5703125" bestFit="1" customWidth="1"/>
    <col min="133" max="133" width="18.85546875" bestFit="1" customWidth="1"/>
    <col min="134" max="134" width="19" bestFit="1" customWidth="1"/>
  </cols>
  <sheetData>
    <row r="1" spans="1:134" s="5" customFormat="1" x14ac:dyDescent="0.25">
      <c r="A1" s="11" t="s">
        <v>0</v>
      </c>
      <c r="B1" s="11" t="s">
        <v>92</v>
      </c>
      <c r="C1" s="11" t="s">
        <v>93</v>
      </c>
      <c r="D1" s="11" t="s">
        <v>2</v>
      </c>
      <c r="E1" s="11" t="s">
        <v>3</v>
      </c>
      <c r="F1" s="11" t="s">
        <v>4</v>
      </c>
      <c r="G1" s="11" t="s">
        <v>94</v>
      </c>
      <c r="H1" s="11" t="s">
        <v>120</v>
      </c>
      <c r="I1" s="11" t="s">
        <v>122</v>
      </c>
      <c r="J1" s="11" t="s">
        <v>123</v>
      </c>
      <c r="K1" s="11" t="s">
        <v>124</v>
      </c>
      <c r="L1" s="11" t="s">
        <v>120</v>
      </c>
      <c r="M1" s="11" t="s">
        <v>122</v>
      </c>
      <c r="N1" s="11" t="s">
        <v>123</v>
      </c>
      <c r="O1" s="11" t="s">
        <v>124</v>
      </c>
      <c r="P1" s="11" t="s">
        <v>120</v>
      </c>
      <c r="Q1" s="11" t="s">
        <v>122</v>
      </c>
      <c r="R1" s="11" t="s">
        <v>123</v>
      </c>
      <c r="S1" s="11" t="s">
        <v>124</v>
      </c>
      <c r="T1" s="11" t="s">
        <v>120</v>
      </c>
      <c r="U1" s="11" t="s">
        <v>122</v>
      </c>
      <c r="V1" s="11" t="s">
        <v>123</v>
      </c>
      <c r="W1" s="11" t="s">
        <v>124</v>
      </c>
      <c r="X1" s="11" t="s">
        <v>120</v>
      </c>
      <c r="Y1" s="11" t="s">
        <v>122</v>
      </c>
      <c r="Z1" s="11" t="s">
        <v>123</v>
      </c>
      <c r="AA1" s="11" t="s">
        <v>124</v>
      </c>
      <c r="AB1" s="11" t="s">
        <v>120</v>
      </c>
      <c r="AC1" s="11" t="s">
        <v>122</v>
      </c>
      <c r="AD1" s="11" t="s">
        <v>123</v>
      </c>
      <c r="AE1" s="11" t="s">
        <v>124</v>
      </c>
      <c r="AF1" s="11" t="s">
        <v>120</v>
      </c>
      <c r="AG1" s="11" t="s">
        <v>122</v>
      </c>
      <c r="AH1" s="11" t="s">
        <v>123</v>
      </c>
      <c r="AI1" s="11" t="s">
        <v>124</v>
      </c>
      <c r="AJ1" s="11" t="s">
        <v>120</v>
      </c>
      <c r="AK1" s="11" t="s">
        <v>122</v>
      </c>
      <c r="AL1" s="11" t="s">
        <v>123</v>
      </c>
      <c r="AM1" s="11" t="s">
        <v>124</v>
      </c>
      <c r="AN1" s="11" t="s">
        <v>120</v>
      </c>
      <c r="AO1" s="11" t="s">
        <v>122</v>
      </c>
      <c r="AP1" s="11" t="s">
        <v>123</v>
      </c>
      <c r="AQ1" s="11" t="s">
        <v>124</v>
      </c>
      <c r="AR1" s="11" t="s">
        <v>120</v>
      </c>
      <c r="AS1" s="11" t="s">
        <v>122</v>
      </c>
      <c r="AT1" s="11" t="s">
        <v>123</v>
      </c>
      <c r="AU1" s="11" t="s">
        <v>124</v>
      </c>
      <c r="AV1" s="11" t="s">
        <v>120</v>
      </c>
      <c r="AW1" s="11" t="s">
        <v>122</v>
      </c>
      <c r="AX1" s="11" t="s">
        <v>123</v>
      </c>
      <c r="AY1" s="11" t="s">
        <v>124</v>
      </c>
      <c r="AZ1" s="11" t="s">
        <v>120</v>
      </c>
      <c r="BA1" s="11" t="s">
        <v>122</v>
      </c>
      <c r="BB1" s="11" t="s">
        <v>123</v>
      </c>
      <c r="BC1" s="11" t="s">
        <v>124</v>
      </c>
      <c r="BD1" s="11" t="s">
        <v>120</v>
      </c>
      <c r="BE1" s="11" t="s">
        <v>122</v>
      </c>
      <c r="BF1" s="11" t="s">
        <v>123</v>
      </c>
      <c r="BG1" s="11" t="s">
        <v>124</v>
      </c>
      <c r="BH1" s="11" t="s">
        <v>120</v>
      </c>
      <c r="BI1" s="11" t="s">
        <v>122</v>
      </c>
      <c r="BJ1" s="11" t="s">
        <v>123</v>
      </c>
      <c r="BK1" s="11" t="s">
        <v>124</v>
      </c>
      <c r="BL1" s="11" t="s">
        <v>120</v>
      </c>
      <c r="BM1" s="11" t="s">
        <v>122</v>
      </c>
      <c r="BN1" s="11" t="s">
        <v>123</v>
      </c>
      <c r="BO1" s="11" t="s">
        <v>124</v>
      </c>
      <c r="BP1" s="11" t="s">
        <v>120</v>
      </c>
      <c r="BQ1" s="11" t="s">
        <v>122</v>
      </c>
      <c r="BR1" s="11" t="s">
        <v>123</v>
      </c>
      <c r="BS1" s="11" t="s">
        <v>124</v>
      </c>
      <c r="BT1" s="11" t="s">
        <v>120</v>
      </c>
      <c r="BU1" s="11" t="s">
        <v>122</v>
      </c>
      <c r="BV1" s="11" t="s">
        <v>123</v>
      </c>
      <c r="BW1" s="11" t="s">
        <v>124</v>
      </c>
      <c r="BX1" s="11" t="s">
        <v>120</v>
      </c>
      <c r="BY1" s="11" t="s">
        <v>122</v>
      </c>
      <c r="BZ1" s="11" t="s">
        <v>123</v>
      </c>
      <c r="CA1" s="11" t="s">
        <v>124</v>
      </c>
      <c r="CB1" s="11" t="s">
        <v>120</v>
      </c>
      <c r="CC1" s="11" t="s">
        <v>122</v>
      </c>
      <c r="CD1" s="11" t="s">
        <v>123</v>
      </c>
      <c r="CE1" s="11" t="s">
        <v>124</v>
      </c>
      <c r="CF1" s="11" t="s">
        <v>120</v>
      </c>
      <c r="CG1" s="11" t="s">
        <v>122</v>
      </c>
      <c r="CH1" s="11" t="s">
        <v>123</v>
      </c>
      <c r="CI1" s="11" t="s">
        <v>124</v>
      </c>
      <c r="CJ1" s="11" t="s">
        <v>120</v>
      </c>
      <c r="CK1" s="11" t="s">
        <v>122</v>
      </c>
      <c r="CL1" s="11" t="s">
        <v>123</v>
      </c>
      <c r="CM1" s="11" t="s">
        <v>124</v>
      </c>
      <c r="CN1" s="11" t="s">
        <v>120</v>
      </c>
      <c r="CO1" s="11" t="s">
        <v>122</v>
      </c>
      <c r="CP1" s="11" t="s">
        <v>123</v>
      </c>
      <c r="CQ1" s="11" t="s">
        <v>124</v>
      </c>
      <c r="CR1" s="11" t="s">
        <v>120</v>
      </c>
      <c r="CS1" s="11" t="s">
        <v>122</v>
      </c>
      <c r="CT1" s="11" t="s">
        <v>123</v>
      </c>
      <c r="CU1" s="11" t="s">
        <v>124</v>
      </c>
      <c r="CV1" s="11" t="s">
        <v>120</v>
      </c>
      <c r="CW1" s="11" t="s">
        <v>122</v>
      </c>
      <c r="CX1" s="11" t="s">
        <v>123</v>
      </c>
      <c r="CY1" s="11" t="s">
        <v>124</v>
      </c>
      <c r="CZ1" s="11" t="s">
        <v>120</v>
      </c>
      <c r="DA1" s="11" t="s">
        <v>122</v>
      </c>
      <c r="DB1" s="11" t="s">
        <v>123</v>
      </c>
      <c r="DC1" s="11" t="s">
        <v>124</v>
      </c>
      <c r="DD1" s="11" t="s">
        <v>120</v>
      </c>
      <c r="DE1" s="11" t="s">
        <v>122</v>
      </c>
      <c r="DF1" s="11" t="s">
        <v>123</v>
      </c>
      <c r="DG1" s="11" t="s">
        <v>124</v>
      </c>
      <c r="DH1" s="11" t="s">
        <v>120</v>
      </c>
      <c r="DI1" s="11" t="s">
        <v>122</v>
      </c>
      <c r="DJ1" s="11" t="s">
        <v>123</v>
      </c>
      <c r="DK1" s="11" t="s">
        <v>124</v>
      </c>
      <c r="DL1" s="11" t="s">
        <v>120</v>
      </c>
      <c r="DM1" s="11" t="s">
        <v>122</v>
      </c>
      <c r="DN1" s="11" t="s">
        <v>123</v>
      </c>
      <c r="DO1" s="11" t="s">
        <v>124</v>
      </c>
      <c r="DP1" s="11" t="s">
        <v>120</v>
      </c>
      <c r="DQ1" s="11" t="s">
        <v>122</v>
      </c>
      <c r="DR1" s="11" t="s">
        <v>123</v>
      </c>
      <c r="DS1" s="11" t="s">
        <v>124</v>
      </c>
      <c r="DT1" s="11" t="s">
        <v>120</v>
      </c>
      <c r="DU1" s="11" t="s">
        <v>122</v>
      </c>
      <c r="DV1" s="11" t="s">
        <v>123</v>
      </c>
      <c r="DW1" s="11" t="s">
        <v>124</v>
      </c>
      <c r="DX1" s="11" t="s">
        <v>120</v>
      </c>
      <c r="DY1" s="11" t="s">
        <v>122</v>
      </c>
      <c r="DZ1" s="11" t="s">
        <v>123</v>
      </c>
      <c r="EA1" s="11" t="s">
        <v>124</v>
      </c>
      <c r="EB1" s="11" t="s">
        <v>6</v>
      </c>
      <c r="EC1" s="10" t="s">
        <v>295</v>
      </c>
      <c r="ED1" s="11" t="s">
        <v>124</v>
      </c>
    </row>
    <row r="2" spans="1:134" s="3" customFormat="1" x14ac:dyDescent="0.25">
      <c r="A2" s="18" t="s">
        <v>0</v>
      </c>
      <c r="B2" s="18" t="s">
        <v>92</v>
      </c>
      <c r="C2" s="18" t="s">
        <v>93</v>
      </c>
      <c r="D2" s="18" t="s">
        <v>2</v>
      </c>
      <c r="E2" s="18" t="s">
        <v>3</v>
      </c>
      <c r="F2" s="18" t="s">
        <v>4</v>
      </c>
      <c r="G2" s="19" t="s">
        <v>94</v>
      </c>
      <c r="H2" s="65">
        <v>1</v>
      </c>
      <c r="I2" s="65">
        <v>1</v>
      </c>
      <c r="J2" s="65">
        <v>1</v>
      </c>
      <c r="K2" s="11">
        <v>1</v>
      </c>
      <c r="L2" s="11">
        <v>2</v>
      </c>
      <c r="M2" s="11">
        <v>2</v>
      </c>
      <c r="N2" s="11">
        <v>2</v>
      </c>
      <c r="O2" s="11">
        <v>2</v>
      </c>
      <c r="P2" s="11">
        <v>3</v>
      </c>
      <c r="Q2" s="11">
        <v>3</v>
      </c>
      <c r="R2" s="11">
        <v>3</v>
      </c>
      <c r="S2" s="11">
        <v>3</v>
      </c>
      <c r="T2" s="11">
        <v>4</v>
      </c>
      <c r="U2" s="11">
        <v>4</v>
      </c>
      <c r="V2" s="11">
        <v>4</v>
      </c>
      <c r="W2" s="11">
        <v>4</v>
      </c>
      <c r="X2" s="11">
        <v>5</v>
      </c>
      <c r="Y2" s="11">
        <v>5</v>
      </c>
      <c r="Z2" s="11">
        <v>5</v>
      </c>
      <c r="AA2" s="11">
        <v>5</v>
      </c>
      <c r="AB2" s="11">
        <v>6</v>
      </c>
      <c r="AC2" s="11">
        <v>6</v>
      </c>
      <c r="AD2" s="11">
        <v>6</v>
      </c>
      <c r="AE2" s="11">
        <v>6</v>
      </c>
      <c r="AF2" s="11">
        <v>7</v>
      </c>
      <c r="AG2" s="11">
        <v>7</v>
      </c>
      <c r="AH2" s="11">
        <v>7</v>
      </c>
      <c r="AI2" s="11">
        <v>7</v>
      </c>
      <c r="AJ2" s="11">
        <v>8</v>
      </c>
      <c r="AK2" s="11">
        <v>8</v>
      </c>
      <c r="AL2" s="11">
        <v>8</v>
      </c>
      <c r="AM2" s="11">
        <v>8</v>
      </c>
      <c r="AN2" s="11">
        <v>9</v>
      </c>
      <c r="AO2" s="11">
        <v>9</v>
      </c>
      <c r="AP2" s="11">
        <v>9</v>
      </c>
      <c r="AQ2" s="11">
        <v>9</v>
      </c>
      <c r="AR2" s="11">
        <v>10</v>
      </c>
      <c r="AS2" s="11">
        <v>10</v>
      </c>
      <c r="AT2" s="11">
        <v>10</v>
      </c>
      <c r="AU2" s="11">
        <v>10</v>
      </c>
      <c r="AV2" s="11">
        <v>11</v>
      </c>
      <c r="AW2" s="11">
        <v>11</v>
      </c>
      <c r="AX2" s="11">
        <v>11</v>
      </c>
      <c r="AY2" s="11">
        <v>11</v>
      </c>
      <c r="AZ2" s="11">
        <v>12</v>
      </c>
      <c r="BA2" s="11">
        <v>12</v>
      </c>
      <c r="BB2" s="11">
        <v>12</v>
      </c>
      <c r="BC2" s="11">
        <v>12</v>
      </c>
      <c r="BD2" s="11">
        <v>13</v>
      </c>
      <c r="BE2" s="11">
        <v>13</v>
      </c>
      <c r="BF2" s="11">
        <v>13</v>
      </c>
      <c r="BG2" s="11">
        <v>13</v>
      </c>
      <c r="BH2" s="11">
        <v>14</v>
      </c>
      <c r="BI2" s="11">
        <v>14</v>
      </c>
      <c r="BJ2" s="11">
        <v>14</v>
      </c>
      <c r="BK2" s="11">
        <v>14</v>
      </c>
      <c r="BL2" s="11">
        <v>15</v>
      </c>
      <c r="BM2" s="11">
        <v>15</v>
      </c>
      <c r="BN2" s="11">
        <v>15</v>
      </c>
      <c r="BO2" s="11">
        <v>15</v>
      </c>
      <c r="BP2" s="11">
        <v>16</v>
      </c>
      <c r="BQ2" s="11">
        <v>16</v>
      </c>
      <c r="BR2" s="11">
        <v>16</v>
      </c>
      <c r="BS2" s="11">
        <v>16</v>
      </c>
      <c r="BT2" s="11">
        <v>17</v>
      </c>
      <c r="BU2" s="11">
        <v>17</v>
      </c>
      <c r="BV2" s="11">
        <v>17</v>
      </c>
      <c r="BW2" s="11">
        <v>17</v>
      </c>
      <c r="BX2" s="11">
        <v>18</v>
      </c>
      <c r="BY2" s="11">
        <v>18</v>
      </c>
      <c r="BZ2" s="11">
        <v>18</v>
      </c>
      <c r="CA2" s="11">
        <v>18</v>
      </c>
      <c r="CB2" s="11">
        <v>19</v>
      </c>
      <c r="CC2" s="11">
        <v>19</v>
      </c>
      <c r="CD2" s="11">
        <v>19</v>
      </c>
      <c r="CE2" s="11">
        <v>19</v>
      </c>
      <c r="CF2" s="11">
        <v>20</v>
      </c>
      <c r="CG2" s="11">
        <v>20</v>
      </c>
      <c r="CH2" s="11">
        <v>20</v>
      </c>
      <c r="CI2" s="11">
        <v>20</v>
      </c>
      <c r="CJ2" s="11">
        <v>21</v>
      </c>
      <c r="CK2" s="11">
        <v>21</v>
      </c>
      <c r="CL2" s="11">
        <v>21</v>
      </c>
      <c r="CM2" s="11">
        <v>21</v>
      </c>
      <c r="CN2" s="11">
        <v>22</v>
      </c>
      <c r="CO2" s="11">
        <v>22</v>
      </c>
      <c r="CP2" s="11">
        <v>22</v>
      </c>
      <c r="CQ2" s="11">
        <v>22</v>
      </c>
      <c r="CR2" s="11">
        <v>23</v>
      </c>
      <c r="CS2" s="11">
        <v>23</v>
      </c>
      <c r="CT2" s="11">
        <v>23</v>
      </c>
      <c r="CU2" s="11">
        <v>23</v>
      </c>
      <c r="CV2" s="11">
        <v>24</v>
      </c>
      <c r="CW2" s="11">
        <v>24</v>
      </c>
      <c r="CX2" s="11">
        <v>24</v>
      </c>
      <c r="CY2" s="11">
        <v>24</v>
      </c>
      <c r="CZ2" s="11">
        <v>25</v>
      </c>
      <c r="DA2" s="11">
        <v>25</v>
      </c>
      <c r="DB2" s="11">
        <v>25</v>
      </c>
      <c r="DC2" s="11">
        <v>25</v>
      </c>
      <c r="DD2" s="11">
        <v>26</v>
      </c>
      <c r="DE2" s="11">
        <v>26</v>
      </c>
      <c r="DF2" s="11">
        <v>26</v>
      </c>
      <c r="DG2" s="11">
        <v>26</v>
      </c>
      <c r="DH2" s="11">
        <v>27</v>
      </c>
      <c r="DI2" s="11">
        <v>27</v>
      </c>
      <c r="DJ2" s="11">
        <v>27</v>
      </c>
      <c r="DK2" s="11">
        <v>27</v>
      </c>
      <c r="DL2" s="11">
        <v>28</v>
      </c>
      <c r="DM2" s="11">
        <v>28</v>
      </c>
      <c r="DN2" s="11">
        <v>28</v>
      </c>
      <c r="DO2" s="11">
        <v>28</v>
      </c>
      <c r="DP2" s="11">
        <v>29</v>
      </c>
      <c r="DQ2" s="11">
        <v>29</v>
      </c>
      <c r="DR2" s="11">
        <v>29</v>
      </c>
      <c r="DS2" s="11">
        <v>29</v>
      </c>
      <c r="DT2" s="11">
        <v>30</v>
      </c>
      <c r="DU2" s="11">
        <v>30</v>
      </c>
      <c r="DV2" s="11">
        <v>30</v>
      </c>
      <c r="DW2" s="11">
        <v>30</v>
      </c>
      <c r="DX2" s="11" t="s">
        <v>121</v>
      </c>
      <c r="DY2" s="11" t="s">
        <v>121</v>
      </c>
      <c r="DZ2" s="11" t="s">
        <v>121</v>
      </c>
      <c r="EA2" s="11" t="s">
        <v>121</v>
      </c>
      <c r="EB2" s="18" t="s">
        <v>6</v>
      </c>
      <c r="EC2" s="26" t="s">
        <v>295</v>
      </c>
      <c r="ED2" s="11" t="s">
        <v>354</v>
      </c>
    </row>
    <row r="3" spans="1:134" x14ac:dyDescent="0.25">
      <c r="A3" t="s">
        <v>36</v>
      </c>
      <c r="B3" t="s">
        <v>37</v>
      </c>
      <c r="C3">
        <v>150360</v>
      </c>
      <c r="D3" t="s">
        <v>38</v>
      </c>
      <c r="E3" t="s">
        <v>37</v>
      </c>
      <c r="F3" t="s">
        <v>24</v>
      </c>
      <c r="G3" t="s">
        <v>28</v>
      </c>
      <c r="H3" s="1">
        <f>VLOOKUP($A3,'CAPEX - PAN'!$A$3:$H$23,8,FALSE)</f>
        <v>28256000</v>
      </c>
      <c r="I3" s="1">
        <f>VLOOKUP($A3,'OPEX - PAN'!$A$3:$H$23,8,FALSE)</f>
        <v>4935465.3117000004</v>
      </c>
      <c r="J3" s="1">
        <f>VLOOKUP($A3,'RECEITAS - PAN'!$A$3:$H$23,8,FALSE)</f>
        <v>516790.71354999999</v>
      </c>
      <c r="K3" s="1">
        <f t="shared" ref="K3:K21" si="0">J3-I3-H3</f>
        <v>-32674674.59815</v>
      </c>
      <c r="L3" s="1">
        <f>VLOOKUP($A3,'CAPEX - PAN'!$A$3:$I$21,9,FALSE)</f>
        <v>27472496.351861097</v>
      </c>
      <c r="M3" s="1">
        <f>VLOOKUP($A3,'OPEX - PAN'!$A$3:$I$23,9,FALSE)</f>
        <v>4940660.2350000003</v>
      </c>
      <c r="N3" s="1">
        <f>VLOOKUP($A3,'RECEITAS - PAN'!$A$3:$I$23,9,FALSE)</f>
        <v>549258.98384999996</v>
      </c>
      <c r="O3" s="1">
        <f>N3-M3-L3</f>
        <v>-31863897.603011098</v>
      </c>
      <c r="P3" s="1">
        <f>VLOOKUP($A3,'CAPEX - PAN'!$A$3:$J$21,10,FALSE)</f>
        <v>27381000</v>
      </c>
      <c r="Q3" s="1">
        <f>VLOOKUP($A3,'OPEX - PAN'!$A$3:$J$23,10,FALSE)</f>
        <v>4944732.0165999997</v>
      </c>
      <c r="R3" s="1">
        <f>VLOOKUP($A3,'RECEITAS - PAN'!$A$3:$J$23,10,FALSE)</f>
        <v>574707.61919999996</v>
      </c>
      <c r="S3" s="1">
        <f>R3-Q3-P3</f>
        <v>-31751024.397399999</v>
      </c>
      <c r="T3" s="1">
        <f>VLOOKUP($A3,'CAPEX - PAN'!$A$3:$K$21,11,FALSE)</f>
        <v>91496.351861098257</v>
      </c>
      <c r="U3" s="1">
        <f>VLOOKUP($A3,'OPEX - PAN'!$A$3:$K$23,11,FALSE)</f>
        <v>4948261.2887000004</v>
      </c>
      <c r="V3" s="1">
        <f>VLOOKUP($A3,'RECEITAS - PAN'!$A$3:$K$23,11,FALSE)</f>
        <v>1193531.1392999999</v>
      </c>
      <c r="W3" s="1">
        <f>V3-U3-T3</f>
        <v>-3846226.5012610988</v>
      </c>
      <c r="X3" s="1">
        <f>VLOOKUP($A3,'CAPEX - PAN'!$A$3:$L$21,12,FALSE)</f>
        <v>206657.08</v>
      </c>
      <c r="Y3" s="1">
        <f>VLOOKUP($A3,'OPEX - PAN'!$A$3:$L$23,12,FALSE)</f>
        <v>4951466.5619999999</v>
      </c>
      <c r="Z3" s="1">
        <f>VLOOKUP($A3,'RECEITAS - PAN'!$A$3:$L$23,12,FALSE)</f>
        <v>1233597.0554</v>
      </c>
      <c r="AA3" s="1">
        <f>Z3-Y3-X3</f>
        <v>-3924526.5866</v>
      </c>
      <c r="AB3" s="1">
        <f>VLOOKUP($A3,'CAPEX - PAN'!$A$3:$M$21,13,FALSE)</f>
        <v>91496.351861098257</v>
      </c>
      <c r="AC3" s="1">
        <f>VLOOKUP($A3,'OPEX - PAN'!$A$3:$M$23,13,FALSE)</f>
        <v>4954445.7895999998</v>
      </c>
      <c r="AD3" s="1">
        <f>VLOOKUP($A3,'RECEITAS - PAN'!$A$3:$M$23,13,FALSE)</f>
        <v>1270837.4007000001</v>
      </c>
      <c r="AE3" s="1">
        <f>AD3-AC3-AB3</f>
        <v>-3775104.740761098</v>
      </c>
      <c r="AF3" s="1">
        <f>VLOOKUP($A3,'CAPEX - PAN'!$A$3:$N$21,14,FALSE)</f>
        <v>0</v>
      </c>
      <c r="AG3" s="1">
        <f>VLOOKUP($A3,'OPEX - PAN'!$A$3:$N$23,14,FALSE)</f>
        <v>4957145.7795000002</v>
      </c>
      <c r="AH3" s="1">
        <f>VLOOKUP($A3,'RECEITAS - PAN'!$A$3:$N$23,14,FALSE)</f>
        <v>1304587.2738000001</v>
      </c>
      <c r="AI3" s="1">
        <f>AH3-AG3-AF3</f>
        <v>-3652558.5057000001</v>
      </c>
      <c r="AJ3" s="1">
        <f>VLOOKUP($A3,'CAPEX - PAN'!$A$3:$O$21,15,FALSE)</f>
        <v>298153.43186109827</v>
      </c>
      <c r="AK3" s="1">
        <f>VLOOKUP($A3,'OPEX - PAN'!$A$3:$O$23,15,FALSE)</f>
        <v>4959573.9343999997</v>
      </c>
      <c r="AL3" s="1">
        <f>VLOOKUP($A3,'RECEITAS - PAN'!$A$3:$O$23,15,FALSE)</f>
        <v>1334939.2102000001</v>
      </c>
      <c r="AM3" s="1">
        <f>AL3-AK3-AJ3</f>
        <v>-3922788.156061098</v>
      </c>
      <c r="AN3" s="1">
        <f>VLOOKUP($A3,'CAPEX - PAN'!$A$3:$P$21,16,FALSE)</f>
        <v>0</v>
      </c>
      <c r="AO3" s="1">
        <f>VLOOKUP($A3,'OPEX - PAN'!$A$3:$P$23,16,FALSE)</f>
        <v>4961783.9292000001</v>
      </c>
      <c r="AP3" s="1">
        <f>VLOOKUP($A3,'RECEITAS - PAN'!$A$3:$P$23,16,FALSE)</f>
        <v>1362564.1454</v>
      </c>
      <c r="AQ3" s="1">
        <f>AP3-AO3-AN3</f>
        <v>-3599219.7838000003</v>
      </c>
      <c r="AR3" s="1">
        <f>VLOOKUP($A3,'CAPEX - PAN'!$A$3:$Q$21,17,FALSE)</f>
        <v>7654855.6818610979</v>
      </c>
      <c r="AS3" s="1">
        <f>VLOOKUP($A3,'OPEX - PAN'!$A$3:$Q$23,17,FALSE)</f>
        <v>4963943.9210999999</v>
      </c>
      <c r="AT3" s="1">
        <f>VLOOKUP($A3,'RECEITAS - PAN'!$A$3:$Q$23,17,FALSE)</f>
        <v>1389564.0438000001</v>
      </c>
      <c r="AU3" s="1">
        <f>AT3-AS3-AR3</f>
        <v>-11229235.559161097</v>
      </c>
      <c r="AV3" s="1">
        <f>VLOOKUP($A3,'CAPEX - PAN'!$A$3:$R$21,18,FALSE)</f>
        <v>0</v>
      </c>
      <c r="AW3" s="1">
        <f>VLOOKUP($A3,'OPEX - PAN'!$A$3:$R$23,18,FALSE)</f>
        <v>4966061.6635999996</v>
      </c>
      <c r="AX3" s="1">
        <f>VLOOKUP($A3,'RECEITAS - PAN'!$A$3:$R$23,18,FALSE)</f>
        <v>1416035.825</v>
      </c>
      <c r="AY3" s="1">
        <f>AX3-AW3-AV3</f>
        <v>-3550025.8385999994</v>
      </c>
      <c r="AZ3" s="1">
        <f>VLOOKUP($A3,'CAPEX - PAN'!$A$3:$S$21,19,FALSE)</f>
        <v>91496.351861098257</v>
      </c>
      <c r="BA3" s="1">
        <f>VLOOKUP($A3,'OPEX - PAN'!$A$3:$S$23,19,FALSE)</f>
        <v>4968234.6617000001</v>
      </c>
      <c r="BB3" s="1">
        <f>VLOOKUP($A3,'RECEITAS - PAN'!$A$3:$S$23,19,FALSE)</f>
        <v>1443198.3012999999</v>
      </c>
      <c r="BC3" s="1">
        <f>BB3-BA3-AZ3</f>
        <v>-3616532.7122610984</v>
      </c>
      <c r="BD3" s="1">
        <f>VLOOKUP($A3,'CAPEX - PAN'!$A$3:$T$21,20,FALSE)</f>
        <v>0</v>
      </c>
      <c r="BE3" s="1">
        <f>VLOOKUP($A3,'OPEX - PAN'!$A$3:$T$23,20,FALSE)</f>
        <v>4970319.3049999997</v>
      </c>
      <c r="BF3" s="1">
        <f>VLOOKUP($A3,'RECEITAS - PAN'!$A$3:$T$23,20,FALSE)</f>
        <v>1469256.3428</v>
      </c>
      <c r="BG3" s="1">
        <f>BF3-BE3-BD3</f>
        <v>-3501062.9622</v>
      </c>
      <c r="BH3" s="1">
        <f>VLOOKUP($A3,'CAPEX - PAN'!$A$3:$U$21,21,FALSE)</f>
        <v>91496.351861098257</v>
      </c>
      <c r="BI3" s="1">
        <f>VLOOKUP($A3,'OPEX - PAN'!$A$3:$U$23,21,FALSE)</f>
        <v>4972427.0010000002</v>
      </c>
      <c r="BJ3" s="1">
        <f>VLOOKUP($A3,'RECEITAS - PAN'!$A$3:$U$23,21,FALSE)</f>
        <v>1495602.5430999999</v>
      </c>
      <c r="BK3" s="1">
        <f>BJ3-BI3-BH3</f>
        <v>-3568320.8097610986</v>
      </c>
      <c r="BL3" s="1">
        <f>VLOOKUP($A3,'CAPEX - PAN'!$A$3:$V$21,22,FALSE)</f>
        <v>5374279.3700000001</v>
      </c>
      <c r="BM3" s="1">
        <f>VLOOKUP($A3,'OPEX - PAN'!$A$3:$V$23,22,FALSE)</f>
        <v>4974506.6211000001</v>
      </c>
      <c r="BN3" s="1">
        <f>VLOOKUP($A3,'RECEITAS - PAN'!$A$3:$V$23,22,FALSE)</f>
        <v>1521597.7941000001</v>
      </c>
      <c r="BO3" s="1">
        <f>BN3-BM3-BL3</f>
        <v>-8827188.1970000006</v>
      </c>
      <c r="BP3" s="1">
        <f>VLOOKUP($A3,'CAPEX - PAN'!$A$3:$W$21,23,FALSE)</f>
        <v>91496.351861098257</v>
      </c>
      <c r="BQ3" s="1">
        <f>VLOOKUP($A3,'OPEX - PAN'!$A$3:$W$23,23,FALSE)</f>
        <v>4976649.4797999999</v>
      </c>
      <c r="BR3" s="1">
        <f>VLOOKUP($A3,'RECEITAS - PAN'!$A$3:$W$23,23,FALSE)</f>
        <v>1548383.5277</v>
      </c>
      <c r="BS3" s="1">
        <f>BR3-BQ3-BP3</f>
        <v>-3519762.3039610982</v>
      </c>
      <c r="BT3" s="1">
        <f>VLOOKUP($A3,'CAPEX - PAN'!$A$3:$X$21,24,FALSE)</f>
        <v>0</v>
      </c>
      <c r="BU3" s="1">
        <f>VLOOKUP($A3,'OPEX - PAN'!$A$3:$X$23,24,FALSE)</f>
        <v>4978799.8733000001</v>
      </c>
      <c r="BV3" s="1">
        <f>VLOOKUP($A3,'RECEITAS - PAN'!$A$3:$X$23,24,FALSE)</f>
        <v>1575263.4469000001</v>
      </c>
      <c r="BW3" s="1">
        <f>BV3-BU3-BT3</f>
        <v>-3403536.4264000002</v>
      </c>
      <c r="BX3" s="1">
        <f>VLOOKUP($A3,'CAPEX - PAN'!$A$3:$Y$21,25,FALSE)</f>
        <v>298153.43186109827</v>
      </c>
      <c r="BY3" s="1">
        <f>VLOOKUP($A3,'OPEX - PAN'!$A$3:$Y$23,25,FALSE)</f>
        <v>4980967.4000000004</v>
      </c>
      <c r="BZ3" s="1">
        <f>VLOOKUP($A3,'RECEITAS - PAN'!$A$3:$Y$23,25,FALSE)</f>
        <v>1602357.531</v>
      </c>
      <c r="CA3" s="1">
        <f>BZ3-BY3-BX3</f>
        <v>-3676763.3008610988</v>
      </c>
      <c r="CB3" s="1">
        <f>VLOOKUP($A3,'CAPEX - PAN'!$A$3:$Z$21,26,FALSE)</f>
        <v>0</v>
      </c>
      <c r="CC3" s="1">
        <f>VLOOKUP($A3,'OPEX - PAN'!$A$3:$Z$23,26,FALSE)</f>
        <v>4983034.9101999998</v>
      </c>
      <c r="CD3" s="1">
        <f>VLOOKUP($A3,'RECEITAS - PAN'!$A$3:$Z$23,26,FALSE)</f>
        <v>1628201.4076</v>
      </c>
      <c r="CE3" s="1">
        <f>CD3-CC3-CB3</f>
        <v>-3354833.5025999998</v>
      </c>
      <c r="CF3" s="1">
        <f>VLOOKUP($A3,'CAPEX - PAN'!$A$3:$AA$21,27,FALSE)</f>
        <v>7654855.6818610979</v>
      </c>
      <c r="CG3" s="1">
        <f>VLOOKUP($A3,'OPEX - PAN'!$A$3:$AA$23,27,FALSE)</f>
        <v>4985112.0186000001</v>
      </c>
      <c r="CH3" s="1">
        <f>VLOOKUP($A3,'RECEITAS - PAN'!$A$3:$AA$23,27,FALSE)</f>
        <v>1654165.2634000001</v>
      </c>
      <c r="CI3" s="1">
        <f>CH3-CG3-CF3</f>
        <v>-10985802.437061097</v>
      </c>
      <c r="CJ3" s="1">
        <f>VLOOKUP($A3,'CAPEX - PAN'!$A$3:$AB$21,28,FALSE)</f>
        <v>0</v>
      </c>
      <c r="CK3" s="1">
        <f>VLOOKUP($A3,'OPEX - PAN'!$A$3:$AB$23,28,FALSE)</f>
        <v>4987139.3428999996</v>
      </c>
      <c r="CL3" s="1">
        <f>VLOOKUP($A3,'RECEITAS - PAN'!$A$3:$AB$23,28,FALSE)</f>
        <v>1679506.8163000001</v>
      </c>
      <c r="CM3" s="1">
        <f>CL3-CK3-CJ3</f>
        <v>-3307632.5265999995</v>
      </c>
      <c r="CN3" s="1">
        <f>VLOOKUP($A3,'CAPEX - PAN'!$A$3:$AC$21,29,FALSE)</f>
        <v>91496.351861098257</v>
      </c>
      <c r="CO3" s="1">
        <f>VLOOKUP($A3,'OPEX - PAN'!$A$3:$AC$23,29,FALSE)</f>
        <v>4989087.3305000002</v>
      </c>
      <c r="CP3" s="1">
        <f>VLOOKUP($A3,'RECEITAS - PAN'!$A$3:$AC$23,29,FALSE)</f>
        <v>1703856.662</v>
      </c>
      <c r="CQ3" s="1">
        <f>CP3-CO3-CN3</f>
        <v>-3376727.0203610985</v>
      </c>
      <c r="CR3" s="1">
        <f>VLOOKUP($A3,'CAPEX - PAN'!$A$3:$AD$21,30,FALSE)</f>
        <v>0</v>
      </c>
      <c r="CS3" s="1">
        <f>VLOOKUP($A3,'OPEX - PAN'!$A$3:$AD$23,30,FALSE)</f>
        <v>4990972.67</v>
      </c>
      <c r="CT3" s="1">
        <f>VLOOKUP($A3,'RECEITAS - PAN'!$A$3:$AD$23,30,FALSE)</f>
        <v>1727423.4055999999</v>
      </c>
      <c r="CU3" s="1">
        <f>CT3-CS3-CR3</f>
        <v>-3263549.2643999998</v>
      </c>
      <c r="CV3" s="1">
        <f>VLOOKUP($A3,'CAPEX - PAN'!$A$3:$AE$21,31,FALSE)</f>
        <v>91496.351861098257</v>
      </c>
      <c r="CW3" s="1">
        <f>VLOOKUP($A3,'OPEX - PAN'!$A$3:$AE$23,31,FALSE)</f>
        <v>4992839.2506999997</v>
      </c>
      <c r="CX3" s="1">
        <f>VLOOKUP($A3,'RECEITAS - PAN'!$A$3:$AE$23,31,FALSE)</f>
        <v>1750755.6636999999</v>
      </c>
      <c r="CY3" s="1">
        <f>CX3-CW3-CV3</f>
        <v>-3333579.9388610981</v>
      </c>
      <c r="CZ3" s="1">
        <f>VLOOKUP($A3,'CAPEX - PAN'!$A$3:$AF$21,32,FALSE)</f>
        <v>206657.08</v>
      </c>
      <c r="DA3" s="1">
        <f>VLOOKUP($A3,'OPEX - PAN'!$A$3:$AF$23,32,FALSE)</f>
        <v>4994579.8022999996</v>
      </c>
      <c r="DB3" s="1">
        <f>VLOOKUP($A3,'RECEITAS - PAN'!$A$3:$AF$23,32,FALSE)</f>
        <v>1772512.5586000001</v>
      </c>
      <c r="DC3" s="1">
        <f>DB3-DA3-CZ3</f>
        <v>-3428724.3236999996</v>
      </c>
      <c r="DD3" s="1">
        <f>VLOOKUP($A3,'CAPEX - PAN'!$A$3:$AG$21,33,FALSE)</f>
        <v>91496.351861098257</v>
      </c>
      <c r="DE3" s="1">
        <f>VLOOKUP($A3,'OPEX - PAN'!$A$3:$AG$23,33,FALSE)</f>
        <v>4996302.7725</v>
      </c>
      <c r="DF3" s="1">
        <f>VLOOKUP($A3,'RECEITAS - PAN'!$A$3:$AG$23,33,FALSE)</f>
        <v>1794049.6869000001</v>
      </c>
      <c r="DG3" s="1">
        <f>DF3-DE3-DD3</f>
        <v>-3293749.4374610982</v>
      </c>
      <c r="DH3" s="1">
        <f>VLOOKUP($A3,'CAPEX - PAN'!$A$3:$AH$21,34,FALSE)</f>
        <v>0</v>
      </c>
      <c r="DI3" s="1">
        <f>VLOOKUP($A3,'OPEX - PAN'!$A$3:$AH$23,34,FALSE)</f>
        <v>4998071.4000000004</v>
      </c>
      <c r="DJ3" s="1">
        <f>VLOOKUP($A3,'RECEITAS - PAN'!$A$3:$AH$23,34,FALSE)</f>
        <v>1816157.531</v>
      </c>
      <c r="DK3" s="1">
        <f>DJ3-DI3-DH3</f>
        <v>-3181913.8690000004</v>
      </c>
      <c r="DL3" s="1">
        <f>VLOOKUP($A3,'CAPEX - PAN'!$A$3:$AI$21,35,FALSE)</f>
        <v>298153.43186109827</v>
      </c>
      <c r="DM3" s="1">
        <f>VLOOKUP($A3,'OPEX - PAN'!$A$3:$AI$23,35,FALSE)</f>
        <v>4999869.7188999997</v>
      </c>
      <c r="DN3" s="1">
        <f>VLOOKUP($A3,'RECEITAS - PAN'!$A$3:$AI$23,35,FALSE)</f>
        <v>1838636.5162</v>
      </c>
      <c r="DO3" s="1">
        <f>DN3-DM3-DL3</f>
        <v>-3459386.6345610982</v>
      </c>
      <c r="DP3" s="1">
        <f>VLOOKUP($A3,'CAPEX - PAN'!$A$3:$AJ$21,36,FALSE)</f>
        <v>0</v>
      </c>
      <c r="DQ3" s="1">
        <f>VLOOKUP($A3,'OPEX - PAN'!$A$3:$AJ$23,36,FALSE)</f>
        <v>5004707.4447222212</v>
      </c>
      <c r="DR3" s="1">
        <f>VLOOKUP($A3,'RECEITAS - PAN'!$A$3:$AJ$23,36,FALSE)</f>
        <v>1899108.0893857107</v>
      </c>
      <c r="DS3" s="1">
        <f>DR3-DQ3-DP3</f>
        <v>-3105599.3553365106</v>
      </c>
      <c r="DT3" s="1">
        <f>VLOOKUP($A3,'CAPEX - PAN'!$A$3:$AK$21,37,FALSE)</f>
        <v>91496.351861098257</v>
      </c>
      <c r="DU3" s="1">
        <f>VLOOKUP($A3,'OPEX - PAN'!$A$3:$AK$23,37,FALSE)</f>
        <v>5006429.1362468265</v>
      </c>
      <c r="DV3" s="1">
        <f>VLOOKUP($A3,'RECEITAS - PAN'!$A$3:$AK$23,37,FALSE)</f>
        <v>1920629.2334725633</v>
      </c>
      <c r="DW3" s="1">
        <f>DV3-DU3-DT3</f>
        <v>-3177296.2546353615</v>
      </c>
      <c r="DX3" s="12">
        <f t="shared" ref="DX3:DZ3" si="1">SUM(H3,L3,P3,T3,X3,AB3,AF3,AJ3,AN3,AR3,AV3,AZ3,BD3,BH3,BL3,BP3,BT3,BX3,CB3,CF3,CJ3,CN3,CR3,CV3,CZ3,DD3,DH3,DL3,DP3,DT3)</f>
        <v>105924728.70791654</v>
      </c>
      <c r="DY3" s="12">
        <f t="shared" si="1"/>
        <v>149233590.57086906</v>
      </c>
      <c r="DZ3" s="12">
        <f t="shared" si="1"/>
        <v>43987075.731258273</v>
      </c>
      <c r="EA3" s="12">
        <f>SUM(K3,O3,S3,W3,AA3,AE3,AI3,AM3,AQ3,AU3,AY3,BC3,BG3,BK3,BO3,BS3,BW3,CA3,CE3,CI3,CM3,CQ3,CU3,CY3,DC3,DG3,DK3,DO3,DS3,DW3)</f>
        <v>-211171243.54752731</v>
      </c>
      <c r="EB3" s="3">
        <f>VLOOKUP(A3,'CAPEX - PAN'!$A$3:$AN$21,40,FALSE)</f>
        <v>1</v>
      </c>
      <c r="EC3" s="3">
        <f>VLOOKUP(A3,'BASE PAN - CAPEX'!$A$3:$H$22,8,FALSE)</f>
        <v>3</v>
      </c>
      <c r="ED3" s="63">
        <f>SUM(K3,O3,S3,W3,AA3,AE3,AI3,AM3,AQ3,AU3,AY3,BC3,BG3,BK3,BO3)</f>
        <v>-153302386.95172772</v>
      </c>
    </row>
    <row r="4" spans="1:134" x14ac:dyDescent="0.25">
      <c r="A4" t="s">
        <v>39</v>
      </c>
      <c r="B4" t="s">
        <v>40</v>
      </c>
      <c r="C4">
        <v>291930</v>
      </c>
      <c r="D4" t="s">
        <v>41</v>
      </c>
      <c r="E4" t="s">
        <v>42</v>
      </c>
      <c r="F4" t="s">
        <v>34</v>
      </c>
      <c r="G4" t="s">
        <v>28</v>
      </c>
      <c r="H4" s="1">
        <f>VLOOKUP($A4,'CAPEX - PAN'!$A$3:$H$23,8,FALSE)</f>
        <v>28685066.433333334</v>
      </c>
      <c r="I4" s="1">
        <f>VLOOKUP($A4,'OPEX - PAN'!$A$3:$H$23,8,FALSE)</f>
        <v>3307652.6872999999</v>
      </c>
      <c r="J4" s="1">
        <f>VLOOKUP($A4,'RECEITAS - PAN'!$A$3:$H$23,8,FALSE)</f>
        <v>538440.52599999995</v>
      </c>
      <c r="K4" s="1">
        <f t="shared" si="0"/>
        <v>-31454278.594633333</v>
      </c>
      <c r="L4" s="1">
        <f>VLOOKUP($A4,'CAPEX - PAN'!$A$3:$I$21,9,FALSE)</f>
        <v>12643126.91835323</v>
      </c>
      <c r="M4" s="1">
        <f>VLOOKUP($A4,'OPEX - PAN'!$A$3:$I$23,9,FALSE)</f>
        <v>3312684.3553999998</v>
      </c>
      <c r="N4" s="1">
        <f>VLOOKUP($A4,'RECEITAS - PAN'!$A$3:$I$23,9,FALSE)</f>
        <v>569888.45129999996</v>
      </c>
      <c r="O4" s="1">
        <f>N4-M4-L4</f>
        <v>-15385922.822453231</v>
      </c>
      <c r="P4" s="1">
        <f>VLOOKUP($A4,'CAPEX - PAN'!$A$3:$J$21,10,FALSE)</f>
        <v>12573333.333333334</v>
      </c>
      <c r="Q4" s="1">
        <f>VLOOKUP($A4,'OPEX - PAN'!$A$3:$J$23,10,FALSE)</f>
        <v>3316954.5548999999</v>
      </c>
      <c r="R4" s="1">
        <f>VLOOKUP($A4,'RECEITAS - PAN'!$A$3:$J$23,10,FALSE)</f>
        <v>596577.19825000002</v>
      </c>
      <c r="S4" s="1">
        <f t="shared" ref="S4:S21" si="2">R4-Q4-P4</f>
        <v>-15293710.689983334</v>
      </c>
      <c r="T4" s="1">
        <f>VLOOKUP($A4,'CAPEX - PAN'!$A$3:$K$21,11,FALSE)</f>
        <v>69793.585019895952</v>
      </c>
      <c r="U4" s="1">
        <f>VLOOKUP($A4,'OPEX - PAN'!$A$3:$K$23,11,FALSE)</f>
        <v>3320863.0814</v>
      </c>
      <c r="V4" s="1">
        <f>VLOOKUP($A4,'RECEITAS - PAN'!$A$3:$K$23,11,FALSE)</f>
        <v>1242010.9772000001</v>
      </c>
      <c r="W4" s="1">
        <f t="shared" ref="W4:W21" si="3">V4-U4-T4</f>
        <v>-2148645.6892198958</v>
      </c>
      <c r="X4" s="1">
        <f>VLOOKUP($A4,'CAPEX - PAN'!$A$3:$L$21,12,FALSE)</f>
        <v>208895.29</v>
      </c>
      <c r="Y4" s="1">
        <f>VLOOKUP($A4,'OPEX - PAN'!$A$3:$L$23,12,FALSE)</f>
        <v>3324565.6551000001</v>
      </c>
      <c r="Z4" s="1">
        <f>VLOOKUP($A4,'RECEITAS - PAN'!$A$3:$L$23,12,FALSE)</f>
        <v>1288293.149</v>
      </c>
      <c r="AA4" s="1">
        <f t="shared" ref="AA4:AA21" si="4">Z4-Y4-X4</f>
        <v>-2245167.7960999999</v>
      </c>
      <c r="AB4" s="1">
        <f>VLOOKUP($A4,'CAPEX - PAN'!$A$3:$M$21,13,FALSE)</f>
        <v>69793.585019895952</v>
      </c>
      <c r="AC4" s="1">
        <f>VLOOKUP($A4,'OPEX - PAN'!$A$3:$M$23,13,FALSE)</f>
        <v>3328161.7126000002</v>
      </c>
      <c r="AD4" s="1">
        <f>VLOOKUP($A4,'RECEITAS - PAN'!$A$3:$M$23,13,FALSE)</f>
        <v>1333243.8677999999</v>
      </c>
      <c r="AE4" s="1">
        <f t="shared" ref="AE4:AE21" si="5">AD4-AC4-AB4</f>
        <v>-2064711.4298198964</v>
      </c>
      <c r="AF4" s="1">
        <f>VLOOKUP($A4,'CAPEX - PAN'!$A$3:$N$21,14,FALSE)</f>
        <v>0</v>
      </c>
      <c r="AG4" s="1">
        <f>VLOOKUP($A4,'OPEX - PAN'!$A$3:$N$23,14,FALSE)</f>
        <v>3331559.7028999999</v>
      </c>
      <c r="AH4" s="1">
        <f>VLOOKUP($A4,'RECEITAS - PAN'!$A$3:$N$23,14,FALSE)</f>
        <v>1375718.7471</v>
      </c>
      <c r="AI4" s="1">
        <f t="shared" ref="AI4:AI21" si="6">AH4-AG4-AF4</f>
        <v>-1955840.9557999999</v>
      </c>
      <c r="AJ4" s="1">
        <f>VLOOKUP($A4,'CAPEX - PAN'!$A$3:$O$21,15,FALSE)</f>
        <v>278688.87501989596</v>
      </c>
      <c r="AK4" s="1">
        <f>VLOOKUP($A4,'OPEX - PAN'!$A$3:$O$23,15,FALSE)</f>
        <v>3334664.5115</v>
      </c>
      <c r="AL4" s="1">
        <f>VLOOKUP($A4,'RECEITAS - PAN'!$A$3:$O$23,15,FALSE)</f>
        <v>1414528.8540000001</v>
      </c>
      <c r="AM4" s="1">
        <f t="shared" ref="AM4:AM21" si="7">AL4-AK4-AJ4</f>
        <v>-2198824.532519896</v>
      </c>
      <c r="AN4" s="1">
        <f>VLOOKUP($A4,'CAPEX - PAN'!$A$3:$P$21,16,FALSE)</f>
        <v>0</v>
      </c>
      <c r="AO4" s="1">
        <f>VLOOKUP($A4,'OPEX - PAN'!$A$3:$P$23,16,FALSE)</f>
        <v>3337575.9254000001</v>
      </c>
      <c r="AP4" s="1">
        <f>VLOOKUP($A4,'RECEITAS - PAN'!$A$3:$P$23,16,FALSE)</f>
        <v>1450921.5281</v>
      </c>
      <c r="AQ4" s="1">
        <f t="shared" ref="AQ4:AQ21" si="8">AP4-AO4-AN4</f>
        <v>-1886654.3973000001</v>
      </c>
      <c r="AR4" s="1">
        <f>VLOOKUP($A4,'CAPEX - PAN'!$A$3:$Q$21,17,FALSE)</f>
        <v>8184477.6350198956</v>
      </c>
      <c r="AS4" s="1">
        <f>VLOOKUP($A4,'OPEX - PAN'!$A$3:$Q$23,17,FALSE)</f>
        <v>3340474.7812999999</v>
      </c>
      <c r="AT4" s="1">
        <f>VLOOKUP($A4,'RECEITAS - PAN'!$A$3:$Q$23,17,FALSE)</f>
        <v>1487157.2261000001</v>
      </c>
      <c r="AU4" s="1">
        <f t="shared" ref="AU4:AU21" si="9">AT4-AS4-AR4</f>
        <v>-10037795.190219896</v>
      </c>
      <c r="AV4" s="1">
        <f>VLOOKUP($A4,'CAPEX - PAN'!$A$3:$R$21,18,FALSE)</f>
        <v>0</v>
      </c>
      <c r="AW4" s="1">
        <f>VLOOKUP($A4,'OPEX - PAN'!$A$3:$R$23,18,FALSE)</f>
        <v>3343353.0959999999</v>
      </c>
      <c r="AX4" s="1">
        <f>VLOOKUP($A4,'RECEITAS - PAN'!$A$3:$R$23,18,FALSE)</f>
        <v>1523136.1603999999</v>
      </c>
      <c r="AY4" s="1">
        <f t="shared" ref="AY4:AY21" si="10">AX4-AW4-AV4</f>
        <v>-1820216.9356</v>
      </c>
      <c r="AZ4" s="1">
        <f>VLOOKUP($A4,'CAPEX - PAN'!$A$3:$S$21,19,FALSE)</f>
        <v>69793.585019895952</v>
      </c>
      <c r="BA4" s="1">
        <f>VLOOKUP($A4,'OPEX - PAN'!$A$3:$S$23,19,FALSE)</f>
        <v>3346309.7190999999</v>
      </c>
      <c r="BB4" s="1">
        <f>VLOOKUP($A4,'RECEITAS - PAN'!$A$3:$S$23,19,FALSE)</f>
        <v>1560093.9487000001</v>
      </c>
      <c r="BC4" s="1">
        <f t="shared" ref="BC4:BC21" si="11">BB4-BA4-AZ4</f>
        <v>-1856009.3554198958</v>
      </c>
      <c r="BD4" s="1">
        <f>VLOOKUP($A4,'CAPEX - PAN'!$A$3:$T$21,20,FALSE)</f>
        <v>0</v>
      </c>
      <c r="BE4" s="1">
        <f>VLOOKUP($A4,'OPEX - PAN'!$A$3:$T$23,20,FALSE)</f>
        <v>3349233.6910999999</v>
      </c>
      <c r="BF4" s="1">
        <f>VLOOKUP($A4,'RECEITAS - PAN'!$A$3:$T$23,20,FALSE)</f>
        <v>1596643.5989999999</v>
      </c>
      <c r="BG4" s="1">
        <f t="shared" ref="BG4:BG21" si="12">BF4-BE4-BD4</f>
        <v>-1752590.0921</v>
      </c>
      <c r="BH4" s="1">
        <f>VLOOKUP($A4,'CAPEX - PAN'!$A$3:$U$21,21,FALSE)</f>
        <v>69793.585019895952</v>
      </c>
      <c r="BI4" s="1">
        <f>VLOOKUP($A4,'OPEX - PAN'!$A$3:$U$23,21,FALSE)</f>
        <v>3352200.3605999998</v>
      </c>
      <c r="BJ4" s="1">
        <f>VLOOKUP($A4,'RECEITAS - PAN'!$A$3:$U$23,21,FALSE)</f>
        <v>1633726.9682</v>
      </c>
      <c r="BK4" s="1">
        <f t="shared" ref="BK4:BK21" si="13">BJ4-BI4-BH4</f>
        <v>-1788266.9774198958</v>
      </c>
      <c r="BL4" s="1">
        <f>VLOOKUP($A4,'CAPEX - PAN'!$A$3:$V$21,22,FALSE)</f>
        <v>8131778.9900000002</v>
      </c>
      <c r="BM4" s="1">
        <f>VLOOKUP($A4,'OPEX - PAN'!$A$3:$V$23,22,FALSE)</f>
        <v>3355179.5882999999</v>
      </c>
      <c r="BN4" s="1">
        <f>VLOOKUP($A4,'RECEITAS - PAN'!$A$3:$V$23,22,FALSE)</f>
        <v>1670967.3134999999</v>
      </c>
      <c r="BO4" s="1">
        <f t="shared" ref="BO4:BO21" si="14">BN4-BM4-BL4</f>
        <v>-9815991.2648000009</v>
      </c>
      <c r="BP4" s="1">
        <f>VLOOKUP($A4,'CAPEX - PAN'!$A$3:$W$21,23,FALSE)</f>
        <v>69793.585019895952</v>
      </c>
      <c r="BQ4" s="1">
        <f>VLOOKUP($A4,'OPEX - PAN'!$A$3:$W$23,23,FALSE)</f>
        <v>3358250.7174999998</v>
      </c>
      <c r="BR4" s="1">
        <f>VLOOKUP($A4,'RECEITAS - PAN'!$A$3:$W$23,23,FALSE)</f>
        <v>1709356.4291000001</v>
      </c>
      <c r="BS4" s="1">
        <f t="shared" ref="BS4:BS21" si="15">BR4-BQ4-BP4</f>
        <v>-1718687.8734198958</v>
      </c>
      <c r="BT4" s="1">
        <f>VLOOKUP($A4,'CAPEX - PAN'!$A$3:$X$21,24,FALSE)</f>
        <v>0</v>
      </c>
      <c r="BU4" s="1">
        <f>VLOOKUP($A4,'OPEX - PAN'!$A$3:$X$23,24,FALSE)</f>
        <v>3361368.8135000002</v>
      </c>
      <c r="BV4" s="1">
        <f>VLOOKUP($A4,'RECEITAS - PAN'!$A$3:$X$23,24,FALSE)</f>
        <v>1748332.6292000001</v>
      </c>
      <c r="BW4" s="1">
        <f t="shared" ref="BW4:BW21" si="16">BV4-BU4-BT4</f>
        <v>-1613036.1843000001</v>
      </c>
      <c r="BX4" s="1">
        <f>VLOOKUP($A4,'CAPEX - PAN'!$A$3:$Y$21,25,FALSE)</f>
        <v>278688.87501989596</v>
      </c>
      <c r="BY4" s="1">
        <f>VLOOKUP($A4,'OPEX - PAN'!$A$3:$Y$23,25,FALSE)</f>
        <v>3364538.9240999999</v>
      </c>
      <c r="BZ4" s="1">
        <f>VLOOKUP($A4,'RECEITAS - PAN'!$A$3:$Y$23,25,FALSE)</f>
        <v>1787959.0120999999</v>
      </c>
      <c r="CA4" s="1">
        <f t="shared" ref="CA4:CA21" si="17">BZ4-BY4-BX4</f>
        <v>-1855268.7870198959</v>
      </c>
      <c r="CB4" s="1">
        <f>VLOOKUP($A4,'CAPEX - PAN'!$A$3:$Z$21,26,FALSE)</f>
        <v>0</v>
      </c>
      <c r="CC4" s="1">
        <f>VLOOKUP($A4,'OPEX - PAN'!$A$3:$Z$23,26,FALSE)</f>
        <v>3367651.2675999999</v>
      </c>
      <c r="CD4" s="1">
        <f>VLOOKUP($A4,'RECEITAS - PAN'!$A$3:$Z$23,26,FALSE)</f>
        <v>1826863.3047</v>
      </c>
      <c r="CE4" s="1">
        <f t="shared" ref="CE4:CE21" si="18">CD4-CC4-CB4</f>
        <v>-1540787.9628999999</v>
      </c>
      <c r="CF4" s="1">
        <f>VLOOKUP($A4,'CAPEX - PAN'!$A$3:$AA$21,27,FALSE)</f>
        <v>8184477.6350198956</v>
      </c>
      <c r="CG4" s="1">
        <f>VLOOKUP($A4,'OPEX - PAN'!$A$3:$AA$23,27,FALSE)</f>
        <v>3370828.2355</v>
      </c>
      <c r="CH4" s="1">
        <f>VLOOKUP($A4,'RECEITAS - PAN'!$A$3:$AA$23,27,FALSE)</f>
        <v>1866575.4036999999</v>
      </c>
      <c r="CI4" s="1">
        <f t="shared" ref="CI4:CI21" si="19">CH4-CG4-CF4</f>
        <v>-9688730.4668198954</v>
      </c>
      <c r="CJ4" s="1">
        <f>VLOOKUP($A4,'CAPEX - PAN'!$A$3:$AB$21,28,FALSE)</f>
        <v>0</v>
      </c>
      <c r="CK4" s="1">
        <f>VLOOKUP($A4,'OPEX - PAN'!$A$3:$AB$23,28,FALSE)</f>
        <v>3373978.2532000002</v>
      </c>
      <c r="CL4" s="1">
        <f>VLOOKUP($A4,'RECEITAS - PAN'!$A$3:$AB$23,28,FALSE)</f>
        <v>1905950.6247</v>
      </c>
      <c r="CM4" s="1">
        <f t="shared" ref="CM4:CM21" si="20">CL4-CK4-CJ4</f>
        <v>-1468027.6285000001</v>
      </c>
      <c r="CN4" s="1">
        <f>VLOOKUP($A4,'CAPEX - PAN'!$A$3:$AC$21,29,FALSE)</f>
        <v>69793.585019895952</v>
      </c>
      <c r="CO4" s="1">
        <f>VLOOKUP($A4,'OPEX - PAN'!$A$3:$AC$23,29,FALSE)</f>
        <v>3377183.5263999999</v>
      </c>
      <c r="CP4" s="1">
        <f>VLOOKUP($A4,'RECEITAS - PAN'!$A$3:$AC$23,29,FALSE)</f>
        <v>1946016.5408000001</v>
      </c>
      <c r="CQ4" s="1">
        <f t="shared" ref="CQ4:CQ21" si="21">CP4-CO4-CN4</f>
        <v>-1500960.5706198958</v>
      </c>
      <c r="CR4" s="1">
        <f>VLOOKUP($A4,'CAPEX - PAN'!$A$3:$AD$21,30,FALSE)</f>
        <v>0</v>
      </c>
      <c r="CS4" s="1">
        <f>VLOOKUP($A4,'OPEX - PAN'!$A$3:$AD$23,30,FALSE)</f>
        <v>3380413.9158999999</v>
      </c>
      <c r="CT4" s="1">
        <f>VLOOKUP($A4,'RECEITAS - PAN'!$A$3:$AD$23,30,FALSE)</f>
        <v>1986396.4092999999</v>
      </c>
      <c r="CU4" s="1">
        <f t="shared" ref="CU4:CU21" si="22">CT4-CS4-CR4</f>
        <v>-1394017.5066</v>
      </c>
      <c r="CV4" s="1">
        <f>VLOOKUP($A4,'CAPEX - PAN'!$A$3:$AE$21,31,FALSE)</f>
        <v>69793.585019895952</v>
      </c>
      <c r="CW4" s="1">
        <f>VLOOKUP($A4,'OPEX - PAN'!$A$3:$AE$23,31,FALSE)</f>
        <v>3383681.9797</v>
      </c>
      <c r="CX4" s="1">
        <f>VLOOKUP($A4,'RECEITAS - PAN'!$A$3:$AE$23,31,FALSE)</f>
        <v>2027247.2061000001</v>
      </c>
      <c r="CY4" s="1">
        <f t="shared" ref="CY4:CY21" si="23">CX4-CW4-CV4</f>
        <v>-1426228.358619896</v>
      </c>
      <c r="CZ4" s="1">
        <f>VLOOKUP($A4,'CAPEX - PAN'!$A$3:$AF$21,32,FALSE)</f>
        <v>208895.29</v>
      </c>
      <c r="DA4" s="1">
        <f>VLOOKUP($A4,'OPEX - PAN'!$A$3:$AF$23,32,FALSE)</f>
        <v>3386881.2015</v>
      </c>
      <c r="DB4" s="1">
        <f>VLOOKUP($A4,'RECEITAS - PAN'!$A$3:$AF$23,32,FALSE)</f>
        <v>2067237.4785</v>
      </c>
      <c r="DC4" s="1">
        <f t="shared" ref="DC4:DC21" si="24">DB4-DA4-CZ4</f>
        <v>-1528539.013</v>
      </c>
      <c r="DD4" s="1">
        <f>VLOOKUP($A4,'CAPEX - PAN'!$A$3:$AG$21,33,FALSE)</f>
        <v>69793.585019895952</v>
      </c>
      <c r="DE4" s="1">
        <f>VLOOKUP($A4,'OPEX - PAN'!$A$3:$AG$23,33,FALSE)</f>
        <v>3390096.5211999998</v>
      </c>
      <c r="DF4" s="1">
        <f>VLOOKUP($A4,'RECEITAS - PAN'!$A$3:$AG$23,33,FALSE)</f>
        <v>2107428.9755000002</v>
      </c>
      <c r="DG4" s="1">
        <f t="shared" ref="DG4:DG21" si="25">DF4-DE4-DD4</f>
        <v>-1352461.1307198957</v>
      </c>
      <c r="DH4" s="1">
        <f>VLOOKUP($A4,'CAPEX - PAN'!$A$3:$AH$21,34,FALSE)</f>
        <v>0</v>
      </c>
      <c r="DI4" s="1">
        <f>VLOOKUP($A4,'OPEX - PAN'!$A$3:$AH$23,34,FALSE)</f>
        <v>3393371.6716999998</v>
      </c>
      <c r="DJ4" s="1">
        <f>VLOOKUP($A4,'RECEITAS - PAN'!$A$3:$AH$23,34,FALSE)</f>
        <v>2148368.3563000001</v>
      </c>
      <c r="DK4" s="1">
        <f t="shared" ref="DK4:DK21" si="26">DJ4-DI4-DH4</f>
        <v>-1245003.3153999997</v>
      </c>
      <c r="DL4" s="1">
        <f>VLOOKUP($A4,'CAPEX - PAN'!$A$3:$AI$21,35,FALSE)</f>
        <v>278688.87501989596</v>
      </c>
      <c r="DM4" s="1">
        <f>VLOOKUP($A4,'OPEX - PAN'!$A$3:$AI$23,35,FALSE)</f>
        <v>3396722.6187999998</v>
      </c>
      <c r="DN4" s="1">
        <f>VLOOKUP($A4,'RECEITAS - PAN'!$A$3:$AI$23,35,FALSE)</f>
        <v>2190255.1957999999</v>
      </c>
      <c r="DO4" s="1">
        <f t="shared" ref="DO4:DO21" si="27">DN4-DM4-DL4</f>
        <v>-1485156.2980198958</v>
      </c>
      <c r="DP4" s="1">
        <f>VLOOKUP($A4,'CAPEX - PAN'!$A$3:$AJ$21,36,FALSE)</f>
        <v>0</v>
      </c>
      <c r="DQ4" s="1">
        <f>VLOOKUP($A4,'OPEX - PAN'!$A$3:$AJ$23,36,FALSE)</f>
        <v>3399679.5651269834</v>
      </c>
      <c r="DR4" s="1">
        <f>VLOOKUP($A4,'RECEITAS - PAN'!$A$3:$AJ$23,36,FALSE)</f>
        <v>2227217.0243150741</v>
      </c>
      <c r="DS4" s="1">
        <f t="shared" ref="DS4:DS21" si="28">DR4-DQ4-DP4</f>
        <v>-1172462.5408119094</v>
      </c>
      <c r="DT4" s="1">
        <f>VLOOKUP($A4,'CAPEX - PAN'!$A$3:$AK$21,37,FALSE)</f>
        <v>69793.585019895952</v>
      </c>
      <c r="DU4" s="1">
        <f>VLOOKUP($A4,'OPEX - PAN'!$A$3:$AK$23,37,FALSE)</f>
        <v>3402571.2950935373</v>
      </c>
      <c r="DV4" s="1">
        <f>VLOOKUP($A4,'RECEITAS - PAN'!$A$3:$AK$23,37,FALSE)</f>
        <v>2263363.6489315182</v>
      </c>
      <c r="DW4" s="1">
        <f t="shared" ref="DW4:DW21" si="29">DV4-DU4-DT4</f>
        <v>-1209001.2311819152</v>
      </c>
      <c r="DX4" s="12">
        <f t="shared" ref="DX4:DX21" si="30">SUM(H4,L4,P4,T4,X4,AB4,AF4,AJ4,AN4,AR4,AV4,AZ4,BD4,BH4,BL4,BP4,BT4,BX4,CB4,CF4,CJ4,CN4,CR4,CV4,CZ4,DD4,DH4,DL4,DP4,DT4)</f>
        <v>80284260.415298462</v>
      </c>
      <c r="DY4" s="12">
        <f t="shared" ref="DY4:DY21" si="31">SUM(I4,M4,Q4,U4,Y4,AC4,AG4,AK4,AO4,AS4,AW4,BA4,BE4,BI4,BM4,BQ4,BU4,BY4,CC4,CG4,CK4,CO4,CS4,CW4,DA4,DE4,DI4,DM4,DQ4,DU4)</f>
        <v>100708651.92972052</v>
      </c>
      <c r="DZ4" s="12">
        <f t="shared" ref="DZ4:DZ21" si="32">SUM(J4,N4,R4,V4,Z4,AD4,AH4,AL4,AP4,AT4,AX4,BB4,BF4,BJ4,BN4,BR4,BV4,BZ4,CD4,CH4,CL4,CP4,CT4,CX4,DB4,DF4,DJ4,DN4,DR4,DV4)</f>
        <v>49089916.753696598</v>
      </c>
      <c r="EA4" s="12">
        <f t="shared" ref="EA4:EA21" si="33">SUM(K4,O4,S4,W4,AA4,AE4,AI4,AM4,AQ4,AU4,AY4,BC4,BG4,BK4,BO4,BS4,BW4,CA4,CE4,CI4,CM4,CQ4,CU4,CY4,DC4,DG4,DK4,DO4,DS4,DW4)</f>
        <v>-131902995.59132235</v>
      </c>
      <c r="EB4" s="3">
        <f>VLOOKUP(A4,'CAPEX - PAN'!$A$3:$AN$21,40,FALSE)</f>
        <v>1</v>
      </c>
      <c r="EC4" s="3">
        <f>VLOOKUP(A4,'BASE PAN - CAPEX'!$A$3:$H$22,8,FALSE)</f>
        <v>3</v>
      </c>
      <c r="ED4" s="63">
        <f t="shared" ref="ED4:ED21" si="34">SUM(K4,O4,S4,W4,AA4,AE4,AI4,AM4,AQ4,AU4,AY4,BC4,BG4,BK4,BO4)</f>
        <v>-101704626.72338924</v>
      </c>
    </row>
    <row r="5" spans="1:134" x14ac:dyDescent="0.25">
      <c r="A5" t="s">
        <v>43</v>
      </c>
      <c r="B5" t="s">
        <v>44</v>
      </c>
      <c r="C5">
        <v>130040</v>
      </c>
      <c r="D5" t="s">
        <v>45</v>
      </c>
      <c r="E5" t="s">
        <v>44</v>
      </c>
      <c r="F5" t="s">
        <v>30</v>
      </c>
      <c r="G5" t="s">
        <v>28</v>
      </c>
      <c r="H5" s="1">
        <f>VLOOKUP($A5,'CAPEX - PAN'!$A$3:$H$23,8,FALSE)</f>
        <v>17480020.620000001</v>
      </c>
      <c r="I5" s="1">
        <f>VLOOKUP($A5,'OPEX - PAN'!$A$3:$H$23,8,FALSE)</f>
        <v>1990788.3278000001</v>
      </c>
      <c r="J5" s="1">
        <f>VLOOKUP($A5,'RECEITAS - PAN'!$A$3:$H$23,8,FALSE)</f>
        <v>62856.00735</v>
      </c>
      <c r="K5" s="1">
        <f t="shared" si="0"/>
        <v>-19407952.940450002</v>
      </c>
      <c r="L5" s="1">
        <f>VLOOKUP($A5,'CAPEX - PAN'!$A$3:$I$21,9,FALSE)</f>
        <v>9075000</v>
      </c>
      <c r="M5" s="1">
        <f>VLOOKUP($A5,'OPEX - PAN'!$A$3:$I$23,9,FALSE)</f>
        <v>1991114.6184</v>
      </c>
      <c r="N5" s="1">
        <f>VLOOKUP($A5,'RECEITAS - PAN'!$A$3:$I$23,9,FALSE)</f>
        <v>64775.363850000002</v>
      </c>
      <c r="O5" s="1">
        <f t="shared" ref="O5:O21" si="35">N5-M5-L5</f>
        <v>-11001339.254550001</v>
      </c>
      <c r="P5" s="1">
        <f>VLOOKUP($A5,'CAPEX - PAN'!$A$3:$J$21,10,FALSE)</f>
        <v>9075000</v>
      </c>
      <c r="Q5" s="1">
        <f>VLOOKUP($A5,'OPEX - PAN'!$A$3:$J$23,10,FALSE)</f>
        <v>1991383.7620000001</v>
      </c>
      <c r="R5" s="1">
        <f>VLOOKUP($A5,'RECEITAS - PAN'!$A$3:$J$23,10,FALSE)</f>
        <v>66358.561600000001</v>
      </c>
      <c r="S5" s="1">
        <f t="shared" si="2"/>
        <v>-11000025.2004</v>
      </c>
      <c r="T5" s="1">
        <f>VLOOKUP($A5,'CAPEX - PAN'!$A$3:$K$21,11,FALSE)</f>
        <v>0</v>
      </c>
      <c r="U5" s="1">
        <f>VLOOKUP($A5,'OPEX - PAN'!$A$3:$K$23,11,FALSE)</f>
        <v>1991632.5125</v>
      </c>
      <c r="V5" s="1">
        <f>VLOOKUP($A5,'RECEITAS - PAN'!$A$3:$K$23,11,FALSE)</f>
        <v>135643.59909999999</v>
      </c>
      <c r="W5" s="1">
        <f t="shared" si="3"/>
        <v>-1855988.9134</v>
      </c>
      <c r="X5" s="1">
        <f>VLOOKUP($A5,'CAPEX - PAN'!$A$3:$L$21,12,FALSE)</f>
        <v>197174.36000000002</v>
      </c>
      <c r="Y5" s="1">
        <f>VLOOKUP($A5,'OPEX - PAN'!$A$3:$L$23,12,FALSE)</f>
        <v>1991861.9356</v>
      </c>
      <c r="Z5" s="1">
        <f>VLOOKUP($A5,'RECEITAS - PAN'!$A$3:$L$23,12,FALSE)</f>
        <v>138342.6942</v>
      </c>
      <c r="AA5" s="1">
        <f t="shared" si="4"/>
        <v>-2050693.6014</v>
      </c>
      <c r="AB5" s="1">
        <f>VLOOKUP($A5,'CAPEX - PAN'!$A$3:$M$21,13,FALSE)</f>
        <v>0</v>
      </c>
      <c r="AC5" s="1">
        <f>VLOOKUP($A5,'OPEX - PAN'!$A$3:$M$23,13,FALSE)</f>
        <v>1992082.6454</v>
      </c>
      <c r="AD5" s="1">
        <f>VLOOKUP($A5,'RECEITAS - PAN'!$A$3:$M$23,13,FALSE)</f>
        <v>140939.2807</v>
      </c>
      <c r="AE5" s="1">
        <f t="shared" si="5"/>
        <v>-1851143.3647</v>
      </c>
      <c r="AF5" s="1">
        <f>VLOOKUP($A5,'CAPEX - PAN'!$A$3:$N$21,14,FALSE)</f>
        <v>0</v>
      </c>
      <c r="AG5" s="1">
        <f>VLOOKUP($A5,'OPEX - PAN'!$A$3:$N$23,14,FALSE)</f>
        <v>1992281.4787999999</v>
      </c>
      <c r="AH5" s="1">
        <f>VLOOKUP($A5,'RECEITAS - PAN'!$A$3:$N$23,14,FALSE)</f>
        <v>143278.4964</v>
      </c>
      <c r="AI5" s="1">
        <f t="shared" si="6"/>
        <v>-1849002.9823999999</v>
      </c>
      <c r="AJ5" s="1">
        <f>VLOOKUP($A5,'CAPEX - PAN'!$A$3:$O$21,15,FALSE)</f>
        <v>197174.36000000002</v>
      </c>
      <c r="AK5" s="1">
        <f>VLOOKUP($A5,'OPEX - PAN'!$A$3:$O$23,15,FALSE)</f>
        <v>1992466.5005999999</v>
      </c>
      <c r="AL5" s="1">
        <f>VLOOKUP($A5,'RECEITAS - PAN'!$A$3:$O$23,15,FALSE)</f>
        <v>145455.2237</v>
      </c>
      <c r="AM5" s="1">
        <f t="shared" si="7"/>
        <v>-2044185.6369</v>
      </c>
      <c r="AN5" s="1">
        <f>VLOOKUP($A5,'CAPEX - PAN'!$A$3:$P$21,16,FALSE)</f>
        <v>0</v>
      </c>
      <c r="AO5" s="1">
        <f>VLOOKUP($A5,'OPEX - PAN'!$A$3:$P$23,16,FALSE)</f>
        <v>1992637.2933</v>
      </c>
      <c r="AP5" s="1">
        <f>VLOOKUP($A5,'RECEITAS - PAN'!$A$3:$P$23,16,FALSE)</f>
        <v>147464.55009999999</v>
      </c>
      <c r="AQ5" s="1">
        <f t="shared" si="8"/>
        <v>-1845172.7431999999</v>
      </c>
      <c r="AR5" s="1">
        <f>VLOOKUP($A5,'CAPEX - PAN'!$A$3:$Q$21,17,FALSE)</f>
        <v>7571378.1800000006</v>
      </c>
      <c r="AS5" s="1">
        <f>VLOOKUP($A5,'OPEX - PAN'!$A$3:$Q$23,17,FALSE)</f>
        <v>1992805.5368999999</v>
      </c>
      <c r="AT5" s="1">
        <f>VLOOKUP($A5,'RECEITAS - PAN'!$A$3:$Q$23,17,FALSE)</f>
        <v>149443.88649999999</v>
      </c>
      <c r="AU5" s="1">
        <f t="shared" si="9"/>
        <v>-9414739.8304000013</v>
      </c>
      <c r="AV5" s="1">
        <f>VLOOKUP($A5,'CAPEX - PAN'!$A$3:$R$21,18,FALSE)</f>
        <v>0</v>
      </c>
      <c r="AW5" s="1">
        <f>VLOOKUP($A5,'OPEX - PAN'!$A$3:$R$23,18,FALSE)</f>
        <v>1992972.7146999999</v>
      </c>
      <c r="AX5" s="1">
        <f>VLOOKUP($A5,'RECEITAS - PAN'!$A$3:$R$23,18,FALSE)</f>
        <v>151410.68410000001</v>
      </c>
      <c r="AY5" s="1">
        <f t="shared" si="10"/>
        <v>-1841562.0305999999</v>
      </c>
      <c r="AZ5" s="1">
        <f>VLOOKUP($A5,'CAPEX - PAN'!$A$3:$S$21,19,FALSE)</f>
        <v>0</v>
      </c>
      <c r="BA5" s="1">
        <f>VLOOKUP($A5,'OPEX - PAN'!$A$3:$S$23,19,FALSE)</f>
        <v>1993140.9583000001</v>
      </c>
      <c r="BB5" s="1">
        <f>VLOOKUP($A5,'RECEITAS - PAN'!$A$3:$S$23,19,FALSE)</f>
        <v>153390.02050000001</v>
      </c>
      <c r="BC5" s="1">
        <f t="shared" si="11"/>
        <v>-1839750.9378</v>
      </c>
      <c r="BD5" s="1">
        <f>VLOOKUP($A5,'CAPEX - PAN'!$A$3:$T$21,20,FALSE)</f>
        <v>0</v>
      </c>
      <c r="BE5" s="1">
        <f>VLOOKUP($A5,'OPEX - PAN'!$A$3:$T$23,20,FALSE)</f>
        <v>1993310.6853</v>
      </c>
      <c r="BF5" s="1">
        <f>VLOOKUP($A5,'RECEITAS - PAN'!$A$3:$T$23,20,FALSE)</f>
        <v>155386.80809999999</v>
      </c>
      <c r="BG5" s="1">
        <f t="shared" si="12"/>
        <v>-1837923.8772</v>
      </c>
      <c r="BH5" s="1">
        <f>VLOOKUP($A5,'CAPEX - PAN'!$A$3:$U$21,21,FALSE)</f>
        <v>0</v>
      </c>
      <c r="BI5" s="1">
        <f>VLOOKUP($A5,'OPEX - PAN'!$A$3:$U$23,21,FALSE)</f>
        <v>1993478.9288999999</v>
      </c>
      <c r="BJ5" s="1">
        <f>VLOOKUP($A5,'RECEITAS - PAN'!$A$3:$U$23,21,FALSE)</f>
        <v>157366.1446</v>
      </c>
      <c r="BK5" s="1">
        <f t="shared" si="13"/>
        <v>-1836112.7842999999</v>
      </c>
      <c r="BL5" s="1">
        <f>VLOOKUP($A5,'CAPEX - PAN'!$A$3:$V$21,22,FALSE)</f>
        <v>5421309.0199999996</v>
      </c>
      <c r="BM5" s="1">
        <f>VLOOKUP($A5,'OPEX - PAN'!$A$3:$V$23,22,FALSE)</f>
        <v>1993642.0741999999</v>
      </c>
      <c r="BN5" s="1">
        <f>VLOOKUP($A5,'RECEITAS - PAN'!$A$3:$V$23,22,FALSE)</f>
        <v>159285.50109999999</v>
      </c>
      <c r="BO5" s="1">
        <f t="shared" si="14"/>
        <v>-7255665.5930999992</v>
      </c>
      <c r="BP5" s="1">
        <f>VLOOKUP($A5,'CAPEX - PAN'!$A$3:$W$21,23,FALSE)</f>
        <v>0</v>
      </c>
      <c r="BQ5" s="1">
        <f>VLOOKUP($A5,'OPEX - PAN'!$A$3:$W$23,23,FALSE)</f>
        <v>1993814.3503</v>
      </c>
      <c r="BR5" s="1">
        <f>VLOOKUP($A5,'RECEITAS - PAN'!$A$3:$W$23,23,FALSE)</f>
        <v>161312.27859999999</v>
      </c>
      <c r="BS5" s="1">
        <f t="shared" si="15"/>
        <v>-1832502.0717</v>
      </c>
      <c r="BT5" s="1">
        <f>VLOOKUP($A5,'CAPEX - PAN'!$A$3:$X$21,24,FALSE)</f>
        <v>0</v>
      </c>
      <c r="BU5" s="1">
        <f>VLOOKUP($A5,'OPEX - PAN'!$A$3:$X$23,24,FALSE)</f>
        <v>1993985.1429999999</v>
      </c>
      <c r="BV5" s="1">
        <f>VLOOKUP($A5,'RECEITAS - PAN'!$A$3:$X$23,24,FALSE)</f>
        <v>163321.60500000001</v>
      </c>
      <c r="BW5" s="1">
        <f t="shared" si="16"/>
        <v>-1830663.5379999999</v>
      </c>
      <c r="BX5" s="1">
        <f>VLOOKUP($A5,'CAPEX - PAN'!$A$3:$Y$21,25,FALSE)</f>
        <v>197174.36000000002</v>
      </c>
      <c r="BY5" s="1">
        <f>VLOOKUP($A5,'OPEX - PAN'!$A$3:$Y$23,25,FALSE)</f>
        <v>1994162.5174</v>
      </c>
      <c r="BZ5" s="1">
        <f>VLOOKUP($A5,'RECEITAS - PAN'!$A$3:$Y$23,25,FALSE)</f>
        <v>165408.36240000001</v>
      </c>
      <c r="CA5" s="1">
        <f t="shared" si="17"/>
        <v>-2025928.5150000001</v>
      </c>
      <c r="CB5" s="1">
        <f>VLOOKUP($A5,'CAPEX - PAN'!$A$3:$Z$21,26,FALSE)</f>
        <v>0</v>
      </c>
      <c r="CC5" s="1">
        <f>VLOOKUP($A5,'OPEX - PAN'!$A$3:$Z$23,26,FALSE)</f>
        <v>1994325.6627</v>
      </c>
      <c r="CD5" s="1">
        <f>VLOOKUP($A5,'RECEITAS - PAN'!$A$3:$Z$23,26,FALSE)</f>
        <v>167327.71890000001</v>
      </c>
      <c r="CE5" s="1">
        <f t="shared" si="18"/>
        <v>-1826997.9438</v>
      </c>
      <c r="CF5" s="1">
        <f>VLOOKUP($A5,'CAPEX - PAN'!$A$3:$AA$21,27,FALSE)</f>
        <v>7571378.1800000006</v>
      </c>
      <c r="CG5" s="1">
        <f>VLOOKUP($A5,'OPEX - PAN'!$A$3:$AA$23,27,FALSE)</f>
        <v>1994491.3570999999</v>
      </c>
      <c r="CH5" s="1">
        <f>VLOOKUP($A5,'RECEITAS - PAN'!$A$3:$AA$23,27,FALSE)</f>
        <v>169277.06539999999</v>
      </c>
      <c r="CI5" s="1">
        <f t="shared" si="19"/>
        <v>-9396592.4717000015</v>
      </c>
      <c r="CJ5" s="1">
        <f>VLOOKUP($A5,'CAPEX - PAN'!$A$3:$AB$21,28,FALSE)</f>
        <v>0</v>
      </c>
      <c r="CK5" s="1">
        <f>VLOOKUP($A5,'OPEX - PAN'!$A$3:$AB$23,28,FALSE)</f>
        <v>1994655.9857999999</v>
      </c>
      <c r="CL5" s="1">
        <f>VLOOKUP($A5,'RECEITAS - PAN'!$A$3:$AB$23,28,FALSE)</f>
        <v>171213.8731</v>
      </c>
      <c r="CM5" s="1">
        <f t="shared" si="20"/>
        <v>-1823442.1126999999</v>
      </c>
      <c r="CN5" s="1">
        <f>VLOOKUP($A5,'CAPEX - PAN'!$A$3:$AC$21,29,FALSE)</f>
        <v>0</v>
      </c>
      <c r="CO5" s="1">
        <f>VLOOKUP($A5,'OPEX - PAN'!$A$3:$AC$23,29,FALSE)</f>
        <v>1994811.4837</v>
      </c>
      <c r="CP5" s="1">
        <f>VLOOKUP($A5,'RECEITAS - PAN'!$A$3:$AC$23,29,FALSE)</f>
        <v>173043.2598</v>
      </c>
      <c r="CQ5" s="1">
        <f t="shared" si="21"/>
        <v>-1821768.2239000001</v>
      </c>
      <c r="CR5" s="1">
        <f>VLOOKUP($A5,'CAPEX - PAN'!$A$3:$AD$21,30,FALSE)</f>
        <v>0</v>
      </c>
      <c r="CS5" s="1">
        <f>VLOOKUP($A5,'OPEX - PAN'!$A$3:$AD$23,30,FALSE)</f>
        <v>1994959.3341000001</v>
      </c>
      <c r="CT5" s="1">
        <f>VLOOKUP($A5,'RECEITAS - PAN'!$A$3:$AD$23,30,FALSE)</f>
        <v>174782.67660000001</v>
      </c>
      <c r="CU5" s="1">
        <f t="shared" si="22"/>
        <v>-1820176.6575000002</v>
      </c>
      <c r="CV5" s="1">
        <f>VLOOKUP($A5,'CAPEX - PAN'!$A$3:$AE$21,31,FALSE)</f>
        <v>0</v>
      </c>
      <c r="CW5" s="1">
        <f>VLOOKUP($A5,'OPEX - PAN'!$A$3:$AE$23,31,FALSE)</f>
        <v>1995108.6679</v>
      </c>
      <c r="CX5" s="1">
        <f>VLOOKUP($A5,'RECEITAS - PAN'!$A$3:$AE$23,31,FALSE)</f>
        <v>176539.54459999999</v>
      </c>
      <c r="CY5" s="1">
        <f t="shared" si="23"/>
        <v>-1818569.1233000001</v>
      </c>
      <c r="CZ5" s="1">
        <f>VLOOKUP($A5,'CAPEX - PAN'!$A$3:$AF$21,32,FALSE)</f>
        <v>197174.36000000002</v>
      </c>
      <c r="DA5" s="1">
        <f>VLOOKUP($A5,'OPEX - PAN'!$A$3:$AF$23,32,FALSE)</f>
        <v>1995248.8709</v>
      </c>
      <c r="DB5" s="1">
        <f>VLOOKUP($A5,'RECEITAS - PAN'!$A$3:$AF$23,32,FALSE)</f>
        <v>178188.99170000001</v>
      </c>
      <c r="DC5" s="1">
        <f t="shared" si="24"/>
        <v>-2014234.2392</v>
      </c>
      <c r="DD5" s="1">
        <f>VLOOKUP($A5,'CAPEX - PAN'!$A$3:$AG$21,33,FALSE)</f>
        <v>0</v>
      </c>
      <c r="DE5" s="1">
        <f>VLOOKUP($A5,'OPEX - PAN'!$A$3:$AG$23,33,FALSE)</f>
        <v>1995386.5247</v>
      </c>
      <c r="DF5" s="1">
        <f>VLOOKUP($A5,'RECEITAS - PAN'!$A$3:$AG$23,33,FALSE)</f>
        <v>179808.44870000001</v>
      </c>
      <c r="DG5" s="1">
        <f t="shared" si="25"/>
        <v>-1815578.0759999999</v>
      </c>
      <c r="DH5" s="1">
        <f>VLOOKUP($A5,'CAPEX - PAN'!$A$3:$AH$21,34,FALSE)</f>
        <v>0</v>
      </c>
      <c r="DI5" s="1">
        <f>VLOOKUP($A5,'OPEX - PAN'!$A$3:$AH$23,34,FALSE)</f>
        <v>1995525.6618999999</v>
      </c>
      <c r="DJ5" s="1">
        <f>VLOOKUP($A5,'RECEITAS - PAN'!$A$3:$AH$23,34,FALSE)</f>
        <v>181445.35699999999</v>
      </c>
      <c r="DK5" s="1">
        <f t="shared" si="26"/>
        <v>-1814080.3048999999</v>
      </c>
      <c r="DL5" s="1">
        <f>VLOOKUP($A5,'CAPEX - PAN'!$A$3:$AI$21,35,FALSE)</f>
        <v>197174.36000000002</v>
      </c>
      <c r="DM5" s="1">
        <f>VLOOKUP($A5,'OPEX - PAN'!$A$3:$AI$23,35,FALSE)</f>
        <v>1995665.8648999999</v>
      </c>
      <c r="DN5" s="1">
        <f>VLOOKUP($A5,'RECEITAS - PAN'!$A$3:$AI$23,35,FALSE)</f>
        <v>183094.804</v>
      </c>
      <c r="DO5" s="1">
        <f t="shared" si="27"/>
        <v>-2009745.4209</v>
      </c>
      <c r="DP5" s="1">
        <f>VLOOKUP($A5,'CAPEX - PAN'!$A$3:$AJ$21,36,FALSE)</f>
        <v>0</v>
      </c>
      <c r="DQ5" s="1">
        <f>VLOOKUP($A5,'OPEX - PAN'!$A$3:$AJ$23,36,FALSE)</f>
        <v>1996011.7212341267</v>
      </c>
      <c r="DR5" s="1">
        <f>VLOOKUP($A5,'RECEITAS - PAN'!$A$3:$AJ$23,36,FALSE)</f>
        <v>187163.70166190481</v>
      </c>
      <c r="DS5" s="1">
        <f t="shared" si="28"/>
        <v>-1808848.0195722219</v>
      </c>
      <c r="DT5" s="1">
        <f>VLOOKUP($A5,'CAPEX - PAN'!$A$3:$AK$21,37,FALSE)</f>
        <v>0</v>
      </c>
      <c r="DU5" s="1">
        <f>VLOOKUP($A5,'OPEX - PAN'!$A$3:$AK$23,37,FALSE)</f>
        <v>1996157.378877891</v>
      </c>
      <c r="DV5" s="1">
        <f>VLOOKUP($A5,'RECEITAS - PAN'!$A$3:$AK$23,37,FALSE)</f>
        <v>188877.32099852618</v>
      </c>
      <c r="DW5" s="1">
        <f t="shared" si="29"/>
        <v>-1807280.0578793648</v>
      </c>
      <c r="DX5" s="12">
        <f t="shared" si="30"/>
        <v>57179957.800000004</v>
      </c>
      <c r="DY5" s="12">
        <f t="shared" si="31"/>
        <v>59809910.497212015</v>
      </c>
      <c r="DZ5" s="12">
        <f t="shared" si="32"/>
        <v>4592201.8303604322</v>
      </c>
      <c r="EA5" s="12">
        <f t="shared" si="33"/>
        <v>-112397666.46685161</v>
      </c>
      <c r="EB5" s="3">
        <f>VLOOKUP(A5,'CAPEX - PAN'!$A$3:$AN$21,40,FALSE)</f>
        <v>0</v>
      </c>
      <c r="EC5" s="3">
        <f>VLOOKUP(A5,'BASE PAN - CAPEX'!$A$3:$H$22,8,FALSE)</f>
        <v>1</v>
      </c>
      <c r="ED5" s="63">
        <f t="shared" si="34"/>
        <v>-76931259.690799996</v>
      </c>
    </row>
    <row r="6" spans="1:134" x14ac:dyDescent="0.25">
      <c r="A6" t="s">
        <v>47</v>
      </c>
      <c r="B6" t="s">
        <v>48</v>
      </c>
      <c r="C6">
        <v>130190</v>
      </c>
      <c r="D6" t="s">
        <v>49</v>
      </c>
      <c r="E6" t="s">
        <v>48</v>
      </c>
      <c r="F6" t="s">
        <v>30</v>
      </c>
      <c r="G6" t="s">
        <v>28</v>
      </c>
      <c r="H6" s="1">
        <f>VLOOKUP($A6,'CAPEX - PAN'!$A$3:$H$23,8,FALSE)</f>
        <v>36288443.670000002</v>
      </c>
      <c r="I6" s="1">
        <f>VLOOKUP($A6,'OPEX - PAN'!$A$3:$H$23,8,FALSE)</f>
        <v>4209047.5903000003</v>
      </c>
      <c r="J6" s="1">
        <f>VLOOKUP($A6,'RECEITAS - PAN'!$A$3:$H$23,8,FALSE)</f>
        <v>1151405.33495</v>
      </c>
      <c r="K6" s="1">
        <f t="shared" si="0"/>
        <v>-39346085.925350003</v>
      </c>
      <c r="L6" s="1">
        <f>VLOOKUP($A6,'CAPEX - PAN'!$A$3:$I$21,9,FALSE)</f>
        <v>35388085.216523759</v>
      </c>
      <c r="M6" s="1">
        <f>VLOOKUP($A6,'OPEX - PAN'!$A$3:$I$23,9,FALSE)</f>
        <v>4232615.8482999997</v>
      </c>
      <c r="N6" s="1">
        <f>VLOOKUP($A6,'RECEITAS - PAN'!$A$3:$I$23,9,FALSE)</f>
        <v>1298706.9474500001</v>
      </c>
      <c r="O6" s="1">
        <f t="shared" si="35"/>
        <v>-38321994.117373757</v>
      </c>
      <c r="P6" s="1">
        <f>VLOOKUP($A6,'CAPEX - PAN'!$A$3:$J$21,10,FALSE)</f>
        <v>35289000</v>
      </c>
      <c r="Q6" s="1">
        <f>VLOOKUP($A6,'OPEX - PAN'!$A$3:$J$23,10,FALSE)</f>
        <v>4248102.7019999996</v>
      </c>
      <c r="R6" s="1">
        <f>VLOOKUP($A6,'RECEITAS - PAN'!$A$3:$J$23,10,FALSE)</f>
        <v>1395499.7827000001</v>
      </c>
      <c r="S6" s="1">
        <f t="shared" si="2"/>
        <v>-38141602.919299997</v>
      </c>
      <c r="T6" s="1">
        <f>VLOOKUP($A6,'CAPEX - PAN'!$A$3:$K$21,11,FALSE)</f>
        <v>99085.216523757219</v>
      </c>
      <c r="U6" s="1">
        <f>VLOOKUP($A6,'OPEX - PAN'!$A$3:$K$23,11,FALSE)</f>
        <v>4260627.3221000005</v>
      </c>
      <c r="V6" s="1">
        <f>VLOOKUP($A6,'RECEITAS - PAN'!$A$3:$K$23,11,FALSE)</f>
        <v>2947557.3177</v>
      </c>
      <c r="W6" s="1">
        <f t="shared" si="3"/>
        <v>-1412155.2209237576</v>
      </c>
      <c r="X6" s="1">
        <f>VLOOKUP($A6,'CAPEX - PAN'!$A$3:$L$21,12,FALSE)</f>
        <v>220914.91999999998</v>
      </c>
      <c r="Y6" s="1">
        <f>VLOOKUP($A6,'OPEX - PAN'!$A$3:$L$23,12,FALSE)</f>
        <v>4271077.1986999996</v>
      </c>
      <c r="Z6" s="1">
        <f>VLOOKUP($A6,'RECEITAS - PAN'!$A$3:$L$23,12,FALSE)</f>
        <v>3078180.7744999998</v>
      </c>
      <c r="AA6" s="1">
        <f t="shared" si="4"/>
        <v>-1413811.3441999997</v>
      </c>
      <c r="AB6" s="1">
        <f>VLOOKUP($A6,'CAPEX - PAN'!$A$3:$M$21,13,FALSE)</f>
        <v>99085.216523757219</v>
      </c>
      <c r="AC6" s="1">
        <f>VLOOKUP($A6,'OPEX - PAN'!$A$3:$M$23,13,FALSE)</f>
        <v>4282057.3976999996</v>
      </c>
      <c r="AD6" s="1">
        <f>VLOOKUP($A6,'RECEITAS - PAN'!$A$3:$M$23,13,FALSE)</f>
        <v>3215433.2622000002</v>
      </c>
      <c r="AE6" s="1">
        <f t="shared" si="5"/>
        <v>-1165709.3520237566</v>
      </c>
      <c r="AF6" s="1">
        <f>VLOOKUP($A6,'CAPEX - PAN'!$A$3:$N$21,14,FALSE)</f>
        <v>0</v>
      </c>
      <c r="AG6" s="1">
        <f>VLOOKUP($A6,'OPEX - PAN'!$A$3:$N$23,14,FALSE)</f>
        <v>4291571.5974000003</v>
      </c>
      <c r="AH6" s="1">
        <f>VLOOKUP($A6,'RECEITAS - PAN'!$A$3:$N$23,14,FALSE)</f>
        <v>3334360.7587000001</v>
      </c>
      <c r="AI6" s="1">
        <f t="shared" si="6"/>
        <v>-957210.8387000002</v>
      </c>
      <c r="AJ6" s="1">
        <f>VLOOKUP($A6,'CAPEX - PAN'!$A$3:$O$21,15,FALSE)</f>
        <v>320000.13652375719</v>
      </c>
      <c r="AK6" s="1">
        <f>VLOOKUP($A6,'OPEX - PAN'!$A$3:$O$23,15,FALSE)</f>
        <v>4301425.5741999997</v>
      </c>
      <c r="AL6" s="1">
        <f>VLOOKUP($A6,'RECEITAS - PAN'!$A$3:$O$23,15,FALSE)</f>
        <v>3457535.4685</v>
      </c>
      <c r="AM6" s="1">
        <f t="shared" si="7"/>
        <v>-1163890.2422237569</v>
      </c>
      <c r="AN6" s="1">
        <f>VLOOKUP($A6,'CAPEX - PAN'!$A$3:$P$21,16,FALSE)</f>
        <v>0</v>
      </c>
      <c r="AO6" s="1">
        <f>VLOOKUP($A6,'OPEX - PAN'!$A$3:$P$23,16,FALSE)</f>
        <v>4309728.6383999996</v>
      </c>
      <c r="AP6" s="1">
        <f>VLOOKUP($A6,'RECEITAS - PAN'!$A$3:$P$23,16,FALSE)</f>
        <v>3561323.7711999998</v>
      </c>
      <c r="AQ6" s="1">
        <f t="shared" si="8"/>
        <v>-748404.86719999975</v>
      </c>
      <c r="AR6" s="1">
        <f>VLOOKUP($A6,'CAPEX - PAN'!$A$3:$Q$21,17,FALSE)</f>
        <v>9069495.9465237577</v>
      </c>
      <c r="AS6" s="1">
        <f>VLOOKUP($A6,'OPEX - PAN'!$A$3:$Q$23,17,FALSE)</f>
        <v>4319028.8217000002</v>
      </c>
      <c r="AT6" s="1">
        <f>VLOOKUP($A6,'RECEITAS - PAN'!$A$3:$Q$23,17,FALSE)</f>
        <v>3677576.0622999999</v>
      </c>
      <c r="AU6" s="1">
        <f t="shared" si="9"/>
        <v>-9710948.7059237584</v>
      </c>
      <c r="AV6" s="1">
        <f>VLOOKUP($A6,'CAPEX - PAN'!$A$3:$R$21,18,FALSE)</f>
        <v>0</v>
      </c>
      <c r="AW6" s="1">
        <f>VLOOKUP($A6,'OPEX - PAN'!$A$3:$R$23,18,FALSE)</f>
        <v>4327228.0766000003</v>
      </c>
      <c r="AX6" s="1">
        <f>VLOOKUP($A6,'RECEITAS - PAN'!$A$3:$R$23,18,FALSE)</f>
        <v>3780066.7489</v>
      </c>
      <c r="AY6" s="1">
        <f t="shared" si="10"/>
        <v>-547161.32770000026</v>
      </c>
      <c r="AZ6" s="1">
        <f>VLOOKUP($A6,'CAPEX - PAN'!$A$3:$S$21,19,FALSE)</f>
        <v>99085.216523757219</v>
      </c>
      <c r="BA6" s="1">
        <f>VLOOKUP($A6,'OPEX - PAN'!$A$3:$S$23,19,FALSE)</f>
        <v>4336929.5006999997</v>
      </c>
      <c r="BB6" s="1">
        <f>VLOOKUP($A6,'RECEITAS - PAN'!$A$3:$S$23,19,FALSE)</f>
        <v>3901334.5493000001</v>
      </c>
      <c r="BC6" s="1">
        <f t="shared" si="11"/>
        <v>-534680.16792375688</v>
      </c>
      <c r="BD6" s="1">
        <f>VLOOKUP($A6,'CAPEX - PAN'!$A$3:$T$21,20,FALSE)</f>
        <v>0</v>
      </c>
      <c r="BE6" s="1">
        <f>VLOOKUP($A6,'OPEX - PAN'!$A$3:$T$23,20,FALSE)</f>
        <v>4345256.6787</v>
      </c>
      <c r="BF6" s="1">
        <f>VLOOKUP($A6,'RECEITAS - PAN'!$A$3:$T$23,20,FALSE)</f>
        <v>4005424.2746000001</v>
      </c>
      <c r="BG6" s="1">
        <f t="shared" si="12"/>
        <v>-339832.40409999993</v>
      </c>
      <c r="BH6" s="1">
        <f>VLOOKUP($A6,'CAPEX - PAN'!$A$3:$U$21,21,FALSE)</f>
        <v>99085.216523757219</v>
      </c>
      <c r="BI6" s="1">
        <f>VLOOKUP($A6,'OPEX - PAN'!$A$3:$U$23,21,FALSE)</f>
        <v>4354900.2150999997</v>
      </c>
      <c r="BJ6" s="1">
        <f>VLOOKUP($A6,'RECEITAS - PAN'!$A$3:$U$23,21,FALSE)</f>
        <v>4125968.4794999999</v>
      </c>
      <c r="BK6" s="1">
        <f t="shared" si="13"/>
        <v>-328016.95212375699</v>
      </c>
      <c r="BL6" s="1">
        <f>VLOOKUP($A6,'CAPEX - PAN'!$A$3:$V$21,22,FALSE)</f>
        <v>5407129.9800000004</v>
      </c>
      <c r="BM6" s="1">
        <f>VLOOKUP($A6,'OPEX - PAN'!$A$3:$V$23,22,FALSE)</f>
        <v>4363233.6112000002</v>
      </c>
      <c r="BN6" s="1">
        <f>VLOOKUP($A6,'RECEITAS - PAN'!$A$3:$V$23,22,FALSE)</f>
        <v>4230135.9305999996</v>
      </c>
      <c r="BO6" s="1">
        <f t="shared" si="14"/>
        <v>-5540227.660600001</v>
      </c>
      <c r="BP6" s="1">
        <f>VLOOKUP($A6,'CAPEX - PAN'!$A$3:$W$21,23,FALSE)</f>
        <v>99085.216523757219</v>
      </c>
      <c r="BQ6" s="1">
        <f>VLOOKUP($A6,'OPEX - PAN'!$A$3:$W$23,23,FALSE)</f>
        <v>4373206.1475999998</v>
      </c>
      <c r="BR6" s="1">
        <f>VLOOKUP($A6,'RECEITAS - PAN'!$A$3:$W$23,23,FALSE)</f>
        <v>4354792.6357000005</v>
      </c>
      <c r="BS6" s="1">
        <f t="shared" si="15"/>
        <v>-117498.72842375656</v>
      </c>
      <c r="BT6" s="1">
        <f>VLOOKUP($A6,'CAPEX - PAN'!$A$3:$X$21,24,FALSE)</f>
        <v>0</v>
      </c>
      <c r="BU6" s="1">
        <f>VLOOKUP($A6,'OPEX - PAN'!$A$3:$X$23,24,FALSE)</f>
        <v>4381505.5751</v>
      </c>
      <c r="BV6" s="1">
        <f>VLOOKUP($A6,'RECEITAS - PAN'!$A$3:$X$23,24,FALSE)</f>
        <v>4458535.4797999999</v>
      </c>
      <c r="BW6" s="1">
        <f t="shared" si="16"/>
        <v>77029.904699999839</v>
      </c>
      <c r="BX6" s="1">
        <f>VLOOKUP($A6,'CAPEX - PAN'!$A$3:$Y$21,25,FALSE)</f>
        <v>320000.13652375719</v>
      </c>
      <c r="BY6" s="1">
        <f>VLOOKUP($A6,'OPEX - PAN'!$A$3:$Y$23,25,FALSE)</f>
        <v>4391519.2489</v>
      </c>
      <c r="BZ6" s="1">
        <f>VLOOKUP($A6,'RECEITAS - PAN'!$A$3:$Y$23,25,FALSE)</f>
        <v>4583706.4020999996</v>
      </c>
      <c r="CA6" s="1">
        <f t="shared" si="17"/>
        <v>-127812.98332375759</v>
      </c>
      <c r="CB6" s="1">
        <f>VLOOKUP($A6,'CAPEX - PAN'!$A$3:$Z$21,26,FALSE)</f>
        <v>0</v>
      </c>
      <c r="CC6" s="1">
        <f>VLOOKUP($A6,'OPEX - PAN'!$A$3:$Z$23,26,FALSE)</f>
        <v>4400121.4844000004</v>
      </c>
      <c r="CD6" s="1">
        <f>VLOOKUP($A6,'RECEITAS - PAN'!$A$3:$Z$23,26,FALSE)</f>
        <v>4691234.3455999997</v>
      </c>
      <c r="CE6" s="1">
        <f t="shared" si="18"/>
        <v>291112.86119999923</v>
      </c>
      <c r="CF6" s="1">
        <f>VLOOKUP($A6,'CAPEX - PAN'!$A$3:$AA$21,27,FALSE)</f>
        <v>9069495.9465237577</v>
      </c>
      <c r="CG6" s="1">
        <f>VLOOKUP($A6,'OPEX - PAN'!$A$3:$AA$23,27,FALSE)</f>
        <v>4410225.7812000001</v>
      </c>
      <c r="CH6" s="1">
        <f>VLOOKUP($A6,'RECEITAS - PAN'!$A$3:$AA$23,27,FALSE)</f>
        <v>4817538.0559</v>
      </c>
      <c r="CI6" s="1">
        <f t="shared" si="19"/>
        <v>-8662183.6718237586</v>
      </c>
      <c r="CJ6" s="1">
        <f>VLOOKUP($A6,'CAPEX - PAN'!$A$3:$AB$21,28,FALSE)</f>
        <v>0</v>
      </c>
      <c r="CK6" s="1">
        <f>VLOOKUP($A6,'OPEX - PAN'!$A$3:$AB$23,28,FALSE)</f>
        <v>4419109.3132999996</v>
      </c>
      <c r="CL6" s="1">
        <f>VLOOKUP($A6,'RECEITAS - PAN'!$A$3:$AB$23,28,FALSE)</f>
        <v>4928582.2065000003</v>
      </c>
      <c r="CM6" s="1">
        <f t="shared" si="20"/>
        <v>509472.89320000075</v>
      </c>
      <c r="CN6" s="1">
        <f>VLOOKUP($A6,'CAPEX - PAN'!$A$3:$AC$21,29,FALSE)</f>
        <v>99085.216523757219</v>
      </c>
      <c r="CO6" s="1">
        <f>VLOOKUP($A6,'OPEX - PAN'!$A$3:$AC$23,29,FALSE)</f>
        <v>4428244.5530000003</v>
      </c>
      <c r="CP6" s="1">
        <f>VLOOKUP($A6,'RECEITAS - PAN'!$A$3:$AC$23,29,FALSE)</f>
        <v>5042772.7037000004</v>
      </c>
      <c r="CQ6" s="1">
        <f t="shared" si="21"/>
        <v>515442.93417624291</v>
      </c>
      <c r="CR6" s="1">
        <f>VLOOKUP($A6,'CAPEX - PAN'!$A$3:$AD$21,30,FALSE)</f>
        <v>0</v>
      </c>
      <c r="CS6" s="1">
        <f>VLOOKUP($A6,'OPEX - PAN'!$A$3:$AD$23,30,FALSE)</f>
        <v>4436080.1073000003</v>
      </c>
      <c r="CT6" s="1">
        <f>VLOOKUP($A6,'RECEITAS - PAN'!$A$3:$AD$23,30,FALSE)</f>
        <v>5140717.1326000001</v>
      </c>
      <c r="CU6" s="1">
        <f t="shared" si="22"/>
        <v>704637.02529999986</v>
      </c>
      <c r="CV6" s="1">
        <f>VLOOKUP($A6,'CAPEX - PAN'!$A$3:$AE$21,31,FALSE)</f>
        <v>99085.216523757219</v>
      </c>
      <c r="CW6" s="1">
        <f>VLOOKUP($A6,'OPEX - PAN'!$A$3:$AE$23,31,FALSE)</f>
        <v>4445587.6944000004</v>
      </c>
      <c r="CX6" s="1">
        <f>VLOOKUP($A6,'RECEITAS - PAN'!$A$3:$AE$23,31,FALSE)</f>
        <v>5259561.9705999997</v>
      </c>
      <c r="CY6" s="1">
        <f t="shared" si="23"/>
        <v>714889.05967624206</v>
      </c>
      <c r="CZ6" s="1">
        <f>VLOOKUP($A6,'CAPEX - PAN'!$A$3:$AF$21,32,FALSE)</f>
        <v>220914.91999999998</v>
      </c>
      <c r="DA6" s="1">
        <f>VLOOKUP($A6,'OPEX - PAN'!$A$3:$AF$23,32,FALSE)</f>
        <v>4453253.4855000004</v>
      </c>
      <c r="DB6" s="1">
        <f>VLOOKUP($A6,'RECEITAS - PAN'!$A$3:$AF$23,32,FALSE)</f>
        <v>5355384.3591999998</v>
      </c>
      <c r="DC6" s="1">
        <f t="shared" si="24"/>
        <v>681215.95369999949</v>
      </c>
      <c r="DD6" s="1">
        <f>VLOOKUP($A6,'CAPEX - PAN'!$A$3:$AG$21,33,FALSE)</f>
        <v>99085.216523757219</v>
      </c>
      <c r="DE6" s="1">
        <f>VLOOKUP($A6,'OPEX - PAN'!$A$3:$AG$23,33,FALSE)</f>
        <v>4462547.4822000004</v>
      </c>
      <c r="DF6" s="1">
        <f>VLOOKUP($A6,'RECEITAS - PAN'!$A$3:$AG$23,33,FALSE)</f>
        <v>5471559.3187999995</v>
      </c>
      <c r="DG6" s="1">
        <f t="shared" si="25"/>
        <v>909926.6200762419</v>
      </c>
      <c r="DH6" s="1">
        <f>VLOOKUP($A6,'CAPEX - PAN'!$A$3:$AH$21,34,FALSE)</f>
        <v>0</v>
      </c>
      <c r="DI6" s="1">
        <f>VLOOKUP($A6,'OPEX - PAN'!$A$3:$AH$23,34,FALSE)</f>
        <v>4472033.5159999998</v>
      </c>
      <c r="DJ6" s="1">
        <f>VLOOKUP($A6,'RECEITAS - PAN'!$A$3:$AH$23,34,FALSE)</f>
        <v>5590134.7411000002</v>
      </c>
      <c r="DK6" s="1">
        <f t="shared" si="26"/>
        <v>1118101.2251000004</v>
      </c>
      <c r="DL6" s="1">
        <f>VLOOKUP($A6,'CAPEX - PAN'!$A$3:$AI$21,35,FALSE)</f>
        <v>320000.13652375719</v>
      </c>
      <c r="DM6" s="1">
        <f>VLOOKUP($A6,'OPEX - PAN'!$A$3:$AI$23,35,FALSE)</f>
        <v>4481715.5212000003</v>
      </c>
      <c r="DN6" s="1">
        <f>VLOOKUP($A6,'RECEITAS - PAN'!$A$3:$AI$23,35,FALSE)</f>
        <v>5711159.8054</v>
      </c>
      <c r="DO6" s="1">
        <f t="shared" si="27"/>
        <v>909444.14767624252</v>
      </c>
      <c r="DP6" s="1">
        <f>VLOOKUP($A6,'CAPEX - PAN'!$A$3:$AJ$21,36,FALSE)</f>
        <v>0</v>
      </c>
      <c r="DQ6" s="1">
        <f>VLOOKUP($A6,'OPEX - PAN'!$A$3:$AJ$23,36,FALSE)</f>
        <v>4494091.8757595234</v>
      </c>
      <c r="DR6" s="1">
        <f>VLOOKUP($A6,'RECEITAS - PAN'!$A$3:$AJ$23,36,FALSE)</f>
        <v>5865864.2377476096</v>
      </c>
      <c r="DS6" s="1">
        <f t="shared" si="28"/>
        <v>1371772.3619880863</v>
      </c>
      <c r="DT6" s="1">
        <f>VLOOKUP($A6,'CAPEX - PAN'!$A$3:$AK$21,37,FALSE)</f>
        <v>99085.216523757219</v>
      </c>
      <c r="DU6" s="1">
        <f>VLOOKUP($A6,'OPEX - PAN'!$A$3:$AK$23,37,FALSE)</f>
        <v>4501839.0899140611</v>
      </c>
      <c r="DV6" s="1">
        <f>VLOOKUP($A6,'RECEITAS - PAN'!$A$3:$AK$23,37,FALSE)</f>
        <v>5962704.4146782458</v>
      </c>
      <c r="DW6" s="1">
        <f t="shared" si="29"/>
        <v>1361780.1082404274</v>
      </c>
      <c r="DX6" s="12">
        <f t="shared" si="30"/>
        <v>132805247.9578563</v>
      </c>
      <c r="DY6" s="12">
        <f t="shared" si="31"/>
        <v>131003911.6488736</v>
      </c>
      <c r="DZ6" s="12">
        <f t="shared" si="32"/>
        <v>124394757.27252585</v>
      </c>
      <c r="EA6" s="12">
        <f t="shared" si="33"/>
        <v>-139414402.33420408</v>
      </c>
      <c r="EB6" s="3">
        <f>VLOOKUP(A6,'CAPEX - PAN'!$A$3:$AN$21,40,FALSE)</f>
        <v>3</v>
      </c>
      <c r="EC6" s="3">
        <f>VLOOKUP(A6,'BASE PAN - CAPEX'!$A$3:$H$22,8,FALSE)</f>
        <v>3</v>
      </c>
      <c r="ED6" s="63">
        <f t="shared" si="34"/>
        <v>-139671732.04566631</v>
      </c>
    </row>
    <row r="7" spans="1:134" x14ac:dyDescent="0.25">
      <c r="A7" t="s">
        <v>50</v>
      </c>
      <c r="B7" t="s">
        <v>95</v>
      </c>
      <c r="C7">
        <v>120060</v>
      </c>
      <c r="D7" t="s">
        <v>52</v>
      </c>
      <c r="E7" t="s">
        <v>51</v>
      </c>
      <c r="F7" t="s">
        <v>35</v>
      </c>
      <c r="G7" t="s">
        <v>28</v>
      </c>
      <c r="H7" s="1">
        <f>VLOOKUP($A7,'CAPEX - PAN'!$A$3:$H$23,8,FALSE)</f>
        <v>20328443.670000002</v>
      </c>
      <c r="I7" s="1">
        <f>VLOOKUP($A7,'OPEX - PAN'!$A$3:$H$23,8,FALSE)</f>
        <v>2034664.0327999999</v>
      </c>
      <c r="J7" s="1">
        <f>VLOOKUP($A7,'RECEITAS - PAN'!$A$3:$H$23,8,FALSE)</f>
        <v>127083.07769999999</v>
      </c>
      <c r="K7" s="1">
        <f t="shared" si="0"/>
        <v>-22236024.625100002</v>
      </c>
      <c r="L7" s="1">
        <f>VLOOKUP($A7,'CAPEX - PAN'!$A$3:$I$21,9,FALSE)</f>
        <v>19329000</v>
      </c>
      <c r="M7" s="1">
        <f>VLOOKUP($A7,'OPEX - PAN'!$A$3:$I$23,9,FALSE)</f>
        <v>2035808.0601999999</v>
      </c>
      <c r="N7" s="1">
        <f>VLOOKUP($A7,'RECEITAS - PAN'!$A$3:$I$23,9,FALSE)</f>
        <v>133812.65075</v>
      </c>
      <c r="O7" s="1">
        <f t="shared" si="35"/>
        <v>-21230995.409449998</v>
      </c>
      <c r="P7" s="1">
        <f>VLOOKUP($A7,'CAPEX - PAN'!$A$3:$J$21,10,FALSE)</f>
        <v>19329000</v>
      </c>
      <c r="Q7" s="1">
        <f>VLOOKUP($A7,'OPEX - PAN'!$A$3:$J$23,10,FALSE)</f>
        <v>2036798.0057999999</v>
      </c>
      <c r="R7" s="1">
        <f>VLOOKUP($A7,'RECEITAS - PAN'!$A$3:$J$23,10,FALSE)</f>
        <v>139635.86004999999</v>
      </c>
      <c r="S7" s="1">
        <f t="shared" si="2"/>
        <v>-21226162.145750001</v>
      </c>
      <c r="T7" s="1">
        <f>VLOOKUP($A7,'CAPEX - PAN'!$A$3:$K$21,11,FALSE)</f>
        <v>0</v>
      </c>
      <c r="U7" s="1">
        <f>VLOOKUP($A7,'OPEX - PAN'!$A$3:$K$23,11,FALSE)</f>
        <v>2037769.4006000001</v>
      </c>
      <c r="V7" s="1">
        <f>VLOOKUP($A7,'RECEITAS - PAN'!$A$3:$K$23,11,FALSE)</f>
        <v>290699.89480000001</v>
      </c>
      <c r="W7" s="1">
        <f t="shared" si="3"/>
        <v>-1747069.5057999999</v>
      </c>
      <c r="X7" s="1">
        <f>VLOOKUP($A7,'CAPEX - PAN'!$A$3:$L$21,12,FALSE)</f>
        <v>180113.9</v>
      </c>
      <c r="Y7" s="1">
        <f>VLOOKUP($A7,'OPEX - PAN'!$A$3:$L$23,12,FALSE)</f>
        <v>2038676.2209999999</v>
      </c>
      <c r="Z7" s="1">
        <f>VLOOKUP($A7,'RECEITAS - PAN'!$A$3:$L$23,12,FALSE)</f>
        <v>301368.36989999999</v>
      </c>
      <c r="AA7" s="1">
        <f t="shared" si="4"/>
        <v>-1917421.7510999998</v>
      </c>
      <c r="AB7" s="1">
        <f>VLOOKUP($A7,'CAPEX - PAN'!$A$3:$M$21,13,FALSE)</f>
        <v>0</v>
      </c>
      <c r="AC7" s="1">
        <f>VLOOKUP($A7,'OPEX - PAN'!$A$3:$M$23,13,FALSE)</f>
        <v>2039554.4029999999</v>
      </c>
      <c r="AD7" s="1">
        <f>VLOOKUP($A7,'RECEITAS - PAN'!$A$3:$M$23,13,FALSE)</f>
        <v>311699.92340000003</v>
      </c>
      <c r="AE7" s="1">
        <f t="shared" si="5"/>
        <v>-1727854.4796</v>
      </c>
      <c r="AF7" s="1">
        <f>VLOOKUP($A7,'CAPEX - PAN'!$A$3:$N$21,14,FALSE)</f>
        <v>0</v>
      </c>
      <c r="AG7" s="1">
        <f>VLOOKUP($A7,'OPEX - PAN'!$A$3:$N$23,14,FALSE)</f>
        <v>2040422.7031</v>
      </c>
      <c r="AH7" s="1">
        <f>VLOOKUP($A7,'RECEITAS - PAN'!$A$3:$N$23,14,FALSE)</f>
        <v>321915.21769999998</v>
      </c>
      <c r="AI7" s="1">
        <f t="shared" si="6"/>
        <v>-1718507.4854000001</v>
      </c>
      <c r="AJ7" s="1">
        <f>VLOOKUP($A7,'CAPEX - PAN'!$A$3:$O$21,15,FALSE)</f>
        <v>180113.9</v>
      </c>
      <c r="AK7" s="1">
        <f>VLOOKUP($A7,'OPEX - PAN'!$A$3:$O$23,15,FALSE)</f>
        <v>2041231.2845999999</v>
      </c>
      <c r="AL7" s="1">
        <f>VLOOKUP($A7,'RECEITAS - PAN'!$A$3:$O$23,15,FALSE)</f>
        <v>331427.94130000001</v>
      </c>
      <c r="AM7" s="1">
        <f t="shared" si="7"/>
        <v>-1889917.2432999997</v>
      </c>
      <c r="AN7" s="1">
        <f>VLOOKUP($A7,'CAPEX - PAN'!$A$3:$P$21,16,FALSE)</f>
        <v>0</v>
      </c>
      <c r="AO7" s="1">
        <f>VLOOKUP($A7,'OPEX - PAN'!$A$3:$P$23,16,FALSE)</f>
        <v>2041954.2219</v>
      </c>
      <c r="AP7" s="1">
        <f>VLOOKUP($A7,'RECEITAS - PAN'!$A$3:$P$23,16,FALSE)</f>
        <v>339933.08669999999</v>
      </c>
      <c r="AQ7" s="1">
        <f t="shared" si="8"/>
        <v>-1702021.1351999999</v>
      </c>
      <c r="AR7" s="1">
        <f>VLOOKUP($A7,'CAPEX - PAN'!$A$3:$Q$21,17,FALSE)</f>
        <v>6208416.25</v>
      </c>
      <c r="AS7" s="1">
        <f>VLOOKUP($A7,'OPEX - PAN'!$A$3:$Q$23,17,FALSE)</f>
        <v>2042737.6140000001</v>
      </c>
      <c r="AT7" s="1">
        <f>VLOOKUP($A7,'RECEITAS - PAN'!$A$3:$Q$23,17,FALSE)</f>
        <v>349149.46380000003</v>
      </c>
      <c r="AU7" s="1">
        <f t="shared" si="9"/>
        <v>-7902004.4002</v>
      </c>
      <c r="AV7" s="1">
        <f>VLOOKUP($A7,'CAPEX - PAN'!$A$3:$R$21,18,FALSE)</f>
        <v>0</v>
      </c>
      <c r="AW7" s="1">
        <f>VLOOKUP($A7,'OPEX - PAN'!$A$3:$R$23,18,FALSE)</f>
        <v>2043500.8544999999</v>
      </c>
      <c r="AX7" s="1">
        <f>VLOOKUP($A7,'RECEITAS - PAN'!$A$3:$R$23,18,FALSE)</f>
        <v>358128.76370000001</v>
      </c>
      <c r="AY7" s="1">
        <f t="shared" si="10"/>
        <v>-1685372.0907999999</v>
      </c>
      <c r="AZ7" s="1">
        <f>VLOOKUP($A7,'CAPEX - PAN'!$A$3:$S$21,19,FALSE)</f>
        <v>0</v>
      </c>
      <c r="BA7" s="1">
        <f>VLOOKUP($A7,'OPEX - PAN'!$A$3:$S$23,19,FALSE)</f>
        <v>2044272.0778999999</v>
      </c>
      <c r="BB7" s="1">
        <f>VLOOKUP($A7,'RECEITAS - PAN'!$A$3:$S$23,19,FALSE)</f>
        <v>367201.98109999998</v>
      </c>
      <c r="BC7" s="1">
        <f t="shared" si="11"/>
        <v>-1677070.0967999999</v>
      </c>
      <c r="BD7" s="1">
        <f>VLOOKUP($A7,'CAPEX - PAN'!$A$3:$T$21,20,FALSE)</f>
        <v>0</v>
      </c>
      <c r="BE7" s="1">
        <f>VLOOKUP($A7,'OPEX - PAN'!$A$3:$T$23,20,FALSE)</f>
        <v>2045037.8374000001</v>
      </c>
      <c r="BF7" s="1">
        <f>VLOOKUP($A7,'RECEITAS - PAN'!$A$3:$T$23,20,FALSE)</f>
        <v>376210.91570000001</v>
      </c>
      <c r="BG7" s="1">
        <f t="shared" si="12"/>
        <v>-1668826.9217000001</v>
      </c>
      <c r="BH7" s="1">
        <f>VLOOKUP($A7,'CAPEX - PAN'!$A$3:$U$21,21,FALSE)</f>
        <v>0</v>
      </c>
      <c r="BI7" s="1">
        <f>VLOOKUP($A7,'OPEX - PAN'!$A$3:$U$23,21,FALSE)</f>
        <v>2045846.4188999999</v>
      </c>
      <c r="BJ7" s="1">
        <f>VLOOKUP($A7,'RECEITAS - PAN'!$A$3:$U$23,21,FALSE)</f>
        <v>385723.63929999998</v>
      </c>
      <c r="BK7" s="1">
        <f t="shared" si="13"/>
        <v>-1660122.7796</v>
      </c>
      <c r="BL7" s="1">
        <f>VLOOKUP($A7,'CAPEX - PAN'!$A$3:$V$21,22,FALSE)</f>
        <v>6887729.2200000007</v>
      </c>
      <c r="BM7" s="1">
        <f>VLOOKUP($A7,'OPEX - PAN'!$A$3:$V$23,22,FALSE)</f>
        <v>2046670.1140999999</v>
      </c>
      <c r="BN7" s="1">
        <f>VLOOKUP($A7,'RECEITAS - PAN'!$A$3:$V$23,22,FALSE)</f>
        <v>395414.17080000002</v>
      </c>
      <c r="BO7" s="1">
        <f t="shared" si="14"/>
        <v>-8538985.1633000001</v>
      </c>
      <c r="BP7" s="1">
        <f>VLOOKUP($A7,'CAPEX - PAN'!$A$3:$W$21,23,FALSE)</f>
        <v>0</v>
      </c>
      <c r="BQ7" s="1">
        <f>VLOOKUP($A7,'OPEX - PAN'!$A$3:$W$23,23,FALSE)</f>
        <v>2047488.7714</v>
      </c>
      <c r="BR7" s="1">
        <f>VLOOKUP($A7,'RECEITAS - PAN'!$A$3:$W$23,23,FALSE)</f>
        <v>405045.43310000002</v>
      </c>
      <c r="BS7" s="1">
        <f t="shared" si="15"/>
        <v>-1642443.3382999999</v>
      </c>
      <c r="BT7" s="1">
        <f>VLOOKUP($A7,'CAPEX - PAN'!$A$3:$X$21,24,FALSE)</f>
        <v>0</v>
      </c>
      <c r="BU7" s="1">
        <f>VLOOKUP($A7,'OPEX - PAN'!$A$3:$X$23,24,FALSE)</f>
        <v>2048320.0234000001</v>
      </c>
      <c r="BV7" s="1">
        <f>VLOOKUP($A7,'RECEITAS - PAN'!$A$3:$X$23,24,FALSE)</f>
        <v>414824.86859999999</v>
      </c>
      <c r="BW7" s="1">
        <f t="shared" si="16"/>
        <v>-1633495.1548000001</v>
      </c>
      <c r="BX7" s="1">
        <f>VLOOKUP($A7,'CAPEX - PAN'!$A$3:$Y$21,25,FALSE)</f>
        <v>180113.9</v>
      </c>
      <c r="BY7" s="1">
        <f>VLOOKUP($A7,'OPEX - PAN'!$A$3:$Y$23,25,FALSE)</f>
        <v>2049202.0804999999</v>
      </c>
      <c r="BZ7" s="1">
        <f>VLOOKUP($A7,'RECEITAS - PAN'!$A$3:$Y$23,25,FALSE)</f>
        <v>425202.01069999998</v>
      </c>
      <c r="CA7" s="1">
        <f t="shared" si="17"/>
        <v>-1804113.9697999998</v>
      </c>
      <c r="CB7" s="1">
        <f>VLOOKUP($A7,'CAPEX - PAN'!$A$3:$Z$21,26,FALSE)</f>
        <v>0</v>
      </c>
      <c r="CC7" s="1">
        <f>VLOOKUP($A7,'OPEX - PAN'!$A$3:$Z$23,26,FALSE)</f>
        <v>2050056.003</v>
      </c>
      <c r="CD7" s="1">
        <f>VLOOKUP($A7,'RECEITAS - PAN'!$A$3:$Z$23,26,FALSE)</f>
        <v>435248.1581</v>
      </c>
      <c r="CE7" s="1">
        <f t="shared" si="18"/>
        <v>-1614807.8448999999</v>
      </c>
      <c r="CF7" s="1">
        <f>VLOOKUP($A7,'CAPEX - PAN'!$A$3:$AA$21,27,FALSE)</f>
        <v>6208416.25</v>
      </c>
      <c r="CG7" s="1">
        <f>VLOOKUP($A7,'OPEX - PAN'!$A$3:$AA$23,27,FALSE)</f>
        <v>2050884.7361000001</v>
      </c>
      <c r="CH7" s="1">
        <f>VLOOKUP($A7,'RECEITAS - PAN'!$A$3:$AA$23,27,FALSE)</f>
        <v>444997.95899999997</v>
      </c>
      <c r="CI7" s="1">
        <f t="shared" si="19"/>
        <v>-7814303.0271000005</v>
      </c>
      <c r="CJ7" s="1">
        <f>VLOOKUP($A7,'CAPEX - PAN'!$A$3:$AB$21,28,FALSE)</f>
        <v>0</v>
      </c>
      <c r="CK7" s="1">
        <f>VLOOKUP($A7,'OPEX - PAN'!$A$3:$AB$23,28,FALSE)</f>
        <v>2051751.2533</v>
      </c>
      <c r="CL7" s="1">
        <f>VLOOKUP($A7,'RECEITAS - PAN'!$A$3:$AB$23,28,FALSE)</f>
        <v>455192.27960000001</v>
      </c>
      <c r="CM7" s="1">
        <f t="shared" si="20"/>
        <v>-1596558.9737</v>
      </c>
      <c r="CN7" s="1">
        <f>VLOOKUP($A7,'CAPEX - PAN'!$A$3:$AC$21,29,FALSE)</f>
        <v>0</v>
      </c>
      <c r="CO7" s="1">
        <f>VLOOKUP($A7,'OPEX - PAN'!$A$3:$AC$23,29,FALSE)</f>
        <v>2052532.1264</v>
      </c>
      <c r="CP7" s="1">
        <f>VLOOKUP($A7,'RECEITAS - PAN'!$A$3:$AC$23,29,FALSE)</f>
        <v>464379.0221</v>
      </c>
      <c r="CQ7" s="1">
        <f t="shared" si="21"/>
        <v>-1588153.1043</v>
      </c>
      <c r="CR7" s="1">
        <f>VLOOKUP($A7,'CAPEX - PAN'!$A$3:$AD$21,30,FALSE)</f>
        <v>0</v>
      </c>
      <c r="CS7" s="1">
        <f>VLOOKUP($A7,'OPEX - PAN'!$A$3:$AD$23,30,FALSE)</f>
        <v>2053352.3726999999</v>
      </c>
      <c r="CT7" s="1">
        <f>VLOOKUP($A7,'RECEITAS - PAN'!$A$3:$AD$23,30,FALSE)</f>
        <v>474028.97850000003</v>
      </c>
      <c r="CU7" s="1">
        <f t="shared" si="22"/>
        <v>-1579323.3942</v>
      </c>
      <c r="CV7" s="1">
        <f>VLOOKUP($A7,'CAPEX - PAN'!$A$3:$AE$21,31,FALSE)</f>
        <v>0</v>
      </c>
      <c r="CW7" s="1">
        <f>VLOOKUP($A7,'OPEX - PAN'!$A$3:$AE$23,31,FALSE)</f>
        <v>2054115.6132</v>
      </c>
      <c r="CX7" s="1">
        <f>VLOOKUP($A7,'RECEITAS - PAN'!$A$3:$AE$23,31,FALSE)</f>
        <v>483008.27840000001</v>
      </c>
      <c r="CY7" s="1">
        <f t="shared" si="23"/>
        <v>-1571107.3348000001</v>
      </c>
      <c r="CZ7" s="1">
        <f>VLOOKUP($A7,'CAPEX - PAN'!$A$3:$AF$21,32,FALSE)</f>
        <v>180113.9</v>
      </c>
      <c r="DA7" s="1">
        <f>VLOOKUP($A7,'OPEX - PAN'!$A$3:$AF$23,32,FALSE)</f>
        <v>2054856.1832000001</v>
      </c>
      <c r="DB7" s="1">
        <f>VLOOKUP($A7,'RECEITAS - PAN'!$A$3:$AF$23,32,FALSE)</f>
        <v>491720.8664</v>
      </c>
      <c r="DC7" s="1">
        <f t="shared" si="24"/>
        <v>-1743249.2168000001</v>
      </c>
      <c r="DD7" s="1">
        <f>VLOOKUP($A7,'CAPEX - PAN'!$A$3:$AG$21,33,FALSE)</f>
        <v>0</v>
      </c>
      <c r="DE7" s="1">
        <f>VLOOKUP($A7,'OPEX - PAN'!$A$3:$AG$23,33,FALSE)</f>
        <v>2055604.31</v>
      </c>
      <c r="DF7" s="1">
        <f>VLOOKUP($A7,'RECEITAS - PAN'!$A$3:$AG$23,33,FALSE)</f>
        <v>500522.35830000002</v>
      </c>
      <c r="DG7" s="1">
        <f t="shared" si="25"/>
        <v>-1555081.9517000001</v>
      </c>
      <c r="DH7" s="1">
        <f>VLOOKUP($A7,'CAPEX - PAN'!$A$3:$AH$21,34,FALSE)</f>
        <v>0</v>
      </c>
      <c r="DI7" s="1">
        <f>VLOOKUP($A7,'OPEX - PAN'!$A$3:$AH$23,34,FALSE)</f>
        <v>2056367.5504999999</v>
      </c>
      <c r="DJ7" s="1">
        <f>VLOOKUP($A7,'RECEITAS - PAN'!$A$3:$AH$23,34,FALSE)</f>
        <v>509501.65820000001</v>
      </c>
      <c r="DK7" s="1">
        <f t="shared" si="26"/>
        <v>-1546865.8922999999</v>
      </c>
      <c r="DL7" s="1">
        <f>VLOOKUP($A7,'CAPEX - PAN'!$A$3:$AI$21,35,FALSE)</f>
        <v>180113.9</v>
      </c>
      <c r="DM7" s="1">
        <f>VLOOKUP($A7,'OPEX - PAN'!$A$3:$AI$23,35,FALSE)</f>
        <v>2057143.3857</v>
      </c>
      <c r="DN7" s="1">
        <f>VLOOKUP($A7,'RECEITAS - PAN'!$A$3:$AI$23,35,FALSE)</f>
        <v>518629.13130000001</v>
      </c>
      <c r="DO7" s="1">
        <f t="shared" si="27"/>
        <v>-1718628.1543999999</v>
      </c>
      <c r="DP7" s="1">
        <f>VLOOKUP($A7,'CAPEX - PAN'!$A$3:$AJ$21,36,FALSE)</f>
        <v>0</v>
      </c>
      <c r="DQ7" s="1">
        <f>VLOOKUP($A7,'OPEX - PAN'!$A$3:$AJ$23,36,FALSE)</f>
        <v>2058176.9721944449</v>
      </c>
      <c r="DR7" s="1">
        <f>VLOOKUP($A7,'RECEITAS - PAN'!$A$3:$AJ$23,36,FALSE)</f>
        <v>530788.9723523818</v>
      </c>
      <c r="DS7" s="1">
        <f t="shared" si="28"/>
        <v>-1527387.9998420631</v>
      </c>
      <c r="DT7" s="1">
        <f>VLOOKUP($A7,'CAPEX - PAN'!$A$3:$AK$21,37,FALSE)</f>
        <v>0</v>
      </c>
      <c r="DU7" s="1">
        <f>VLOOKUP($A7,'OPEX - PAN'!$A$3:$AK$23,37,FALSE)</f>
        <v>2058948.4655936514</v>
      </c>
      <c r="DV7" s="1">
        <f>VLOOKUP($A7,'RECEITAS - PAN'!$A$3:$AK$23,37,FALSE)</f>
        <v>539865.36527970433</v>
      </c>
      <c r="DW7" s="1">
        <f t="shared" si="29"/>
        <v>-1519083.1003139471</v>
      </c>
      <c r="DX7" s="12">
        <f t="shared" si="30"/>
        <v>79191574.890000015</v>
      </c>
      <c r="DY7" s="12">
        <f t="shared" si="31"/>
        <v>61413743.096988112</v>
      </c>
      <c r="DZ7" s="12">
        <f t="shared" si="32"/>
        <v>11622360.296632085</v>
      </c>
      <c r="EA7" s="12">
        <f t="shared" si="33"/>
        <v>-128982957.69035602</v>
      </c>
      <c r="EB7" s="3">
        <f>VLOOKUP(A7,'CAPEX - PAN'!$A$3:$AN$21,40,FALSE)</f>
        <v>1</v>
      </c>
      <c r="EC7" s="3">
        <f>VLOOKUP(A7,'BASE PAN - CAPEX'!$A$3:$H$22,8,FALSE)</f>
        <v>1</v>
      </c>
      <c r="ED7" s="63">
        <f t="shared" si="34"/>
        <v>-98528355.233099997</v>
      </c>
    </row>
    <row r="8" spans="1:134" x14ac:dyDescent="0.25">
      <c r="A8" t="s">
        <v>53</v>
      </c>
      <c r="B8" t="s">
        <v>54</v>
      </c>
      <c r="C8">
        <v>292400</v>
      </c>
      <c r="D8" t="s">
        <v>55</v>
      </c>
      <c r="E8" t="s">
        <v>54</v>
      </c>
      <c r="F8" t="s">
        <v>34</v>
      </c>
      <c r="G8" t="s">
        <v>28</v>
      </c>
      <c r="H8" s="1">
        <f>VLOOKUP($A8,'CAPEX - PAN'!$A$3:$H$23,8,FALSE)</f>
        <v>26333333.333333336</v>
      </c>
      <c r="I8" s="1">
        <f>VLOOKUP($A8,'OPEX - PAN'!$A$3:$H$23,8,FALSE)</f>
        <v>2627092.7963999999</v>
      </c>
      <c r="J8" s="1">
        <f>VLOOKUP($A8,'RECEITAS - PAN'!$A$3:$H$23,8,FALSE)</f>
        <v>162305.98555000001</v>
      </c>
      <c r="K8" s="1">
        <f t="shared" si="0"/>
        <v>-28798120.144183338</v>
      </c>
      <c r="L8" s="1">
        <f>VLOOKUP($A8,'CAPEX - PAN'!$A$3:$I$21,9,FALSE)</f>
        <v>26391089.847021487</v>
      </c>
      <c r="M8" s="1">
        <f>VLOOKUP($A8,'OPEX - PAN'!$A$3:$I$23,9,FALSE)</f>
        <v>2628581.4931999999</v>
      </c>
      <c r="N8" s="1">
        <f>VLOOKUP($A8,'RECEITAS - PAN'!$A$3:$I$23,9,FALSE)</f>
        <v>171063.02554999999</v>
      </c>
      <c r="O8" s="1">
        <f t="shared" si="35"/>
        <v>-28848608.314671487</v>
      </c>
      <c r="P8" s="1">
        <f>VLOOKUP($A8,'CAPEX - PAN'!$A$3:$J$21,10,FALSE)</f>
        <v>26333333.333333336</v>
      </c>
      <c r="Q8" s="1">
        <f>VLOOKUP($A8,'OPEX - PAN'!$A$3:$J$23,10,FALSE)</f>
        <v>2629926.6101000002</v>
      </c>
      <c r="R8" s="1">
        <f>VLOOKUP($A8,'RECEITAS - PAN'!$A$3:$J$23,10,FALSE)</f>
        <v>178975.4779</v>
      </c>
      <c r="S8" s="1">
        <f t="shared" si="2"/>
        <v>-28784284.465533335</v>
      </c>
      <c r="T8" s="1">
        <f>VLOOKUP($A8,'CAPEX - PAN'!$A$3:$K$21,11,FALSE)</f>
        <v>57756.513688150284</v>
      </c>
      <c r="U8" s="1">
        <f>VLOOKUP($A8,'OPEX - PAN'!$A$3:$K$23,11,FALSE)</f>
        <v>2631231.85</v>
      </c>
      <c r="V8" s="1">
        <f>VLOOKUP($A8,'RECEITAS - PAN'!$A$3:$K$23,11,FALSE)</f>
        <v>373306.71970000002</v>
      </c>
      <c r="W8" s="1">
        <f t="shared" si="3"/>
        <v>-2315681.6439881506</v>
      </c>
      <c r="X8" s="1">
        <f>VLOOKUP($A8,'CAPEX - PAN'!$A$3:$L$21,12,FALSE)</f>
        <v>194684.31</v>
      </c>
      <c r="Y8" s="1">
        <f>VLOOKUP($A8,'OPEX - PAN'!$A$3:$L$23,12,FALSE)</f>
        <v>2632491.3228000002</v>
      </c>
      <c r="Z8" s="1">
        <f>VLOOKUP($A8,'RECEITAS - PAN'!$A$3:$L$23,12,FALSE)</f>
        <v>388124.04619999998</v>
      </c>
      <c r="AA8" s="1">
        <f t="shared" si="4"/>
        <v>-2439051.5866000005</v>
      </c>
      <c r="AB8" s="1">
        <f>VLOOKUP($A8,'CAPEX - PAN'!$A$3:$M$21,13,FALSE)</f>
        <v>57756.513688150284</v>
      </c>
      <c r="AC8" s="1">
        <f>VLOOKUP($A8,'OPEX - PAN'!$A$3:$M$23,13,FALSE)</f>
        <v>2633745.7576000001</v>
      </c>
      <c r="AD8" s="1">
        <f>VLOOKUP($A8,'RECEITAS - PAN'!$A$3:$M$23,13,FALSE)</f>
        <v>402882.10340000002</v>
      </c>
      <c r="AE8" s="1">
        <f t="shared" si="5"/>
        <v>-2288620.1678881506</v>
      </c>
      <c r="AF8" s="1">
        <f>VLOOKUP($A8,'CAPEX - PAN'!$A$3:$N$21,14,FALSE)</f>
        <v>0</v>
      </c>
      <c r="AG8" s="1">
        <f>VLOOKUP($A8,'OPEX - PAN'!$A$3:$N$23,14,FALSE)</f>
        <v>2634954.8514999999</v>
      </c>
      <c r="AH8" s="1">
        <f>VLOOKUP($A8,'RECEITAS - PAN'!$A$3:$N$23,14,FALSE)</f>
        <v>417106.73690000002</v>
      </c>
      <c r="AI8" s="1">
        <f t="shared" si="6"/>
        <v>-2217848.1146</v>
      </c>
      <c r="AJ8" s="1">
        <f>VLOOKUP($A8,'CAPEX - PAN'!$A$3:$O$21,15,FALSE)</f>
        <v>252440.82368815027</v>
      </c>
      <c r="AK8" s="1">
        <f>VLOOKUP($A8,'OPEX - PAN'!$A$3:$O$23,15,FALSE)</f>
        <v>2636116.5115</v>
      </c>
      <c r="AL8" s="1">
        <f>VLOOKUP($A8,'RECEITAS - PAN'!$A$3:$O$23,15,FALSE)</f>
        <v>430773.32549999998</v>
      </c>
      <c r="AM8" s="1">
        <f t="shared" si="7"/>
        <v>-2457784.0096881506</v>
      </c>
      <c r="AN8" s="1">
        <f>VLOOKUP($A8,'CAPEX - PAN'!$A$3:$P$21,16,FALSE)</f>
        <v>0</v>
      </c>
      <c r="AO8" s="1">
        <f>VLOOKUP($A8,'OPEX - PAN'!$A$3:$P$23,16,FALSE)</f>
        <v>2637229.8854</v>
      </c>
      <c r="AP8" s="1">
        <f>VLOOKUP($A8,'RECEITAS - PAN'!$A$3:$P$23,16,FALSE)</f>
        <v>443871.84220000001</v>
      </c>
      <c r="AQ8" s="1">
        <f t="shared" si="8"/>
        <v>-2193358.0432000002</v>
      </c>
      <c r="AR8" s="1">
        <f>VLOOKUP($A8,'CAPEX - PAN'!$A$3:$Q$21,17,FALSE)</f>
        <v>9916710.1936881486</v>
      </c>
      <c r="AS8" s="1">
        <f>VLOOKUP($A8,'OPEX - PAN'!$A$3:$Q$23,17,FALSE)</f>
        <v>2638353.3350999998</v>
      </c>
      <c r="AT8" s="1">
        <f>VLOOKUP($A8,'RECEITAS - PAN'!$A$3:$Q$23,17,FALSE)</f>
        <v>457088.89740000002</v>
      </c>
      <c r="AU8" s="1">
        <f t="shared" si="9"/>
        <v>-12097974.631388148</v>
      </c>
      <c r="AV8" s="1">
        <f>VLOOKUP($A8,'CAPEX - PAN'!$A$3:$R$21,18,FALSE)</f>
        <v>0</v>
      </c>
      <c r="AW8" s="1">
        <f>VLOOKUP($A8,'OPEX - PAN'!$A$3:$R$23,18,FALSE)</f>
        <v>2639495.5803</v>
      </c>
      <c r="AX8" s="1">
        <f>VLOOKUP($A8,'RECEITAS - PAN'!$A$3:$R$23,18,FALSE)</f>
        <v>470527.07579999999</v>
      </c>
      <c r="AY8" s="1">
        <f t="shared" si="10"/>
        <v>-2168968.5044999998</v>
      </c>
      <c r="AZ8" s="1">
        <f>VLOOKUP($A8,'CAPEX - PAN'!$A$3:$S$21,19,FALSE)</f>
        <v>57756.513688150284</v>
      </c>
      <c r="BA8" s="1">
        <f>VLOOKUP($A8,'OPEX - PAN'!$A$3:$S$23,19,FALSE)</f>
        <v>2640682.4298</v>
      </c>
      <c r="BB8" s="1">
        <f>VLOOKUP($A8,'RECEITAS - PAN'!$A$3:$S$23,19,FALSE)</f>
        <v>484490.011</v>
      </c>
      <c r="BC8" s="1">
        <f t="shared" si="11"/>
        <v>-2213948.9324881504</v>
      </c>
      <c r="BD8" s="1">
        <f>VLOOKUP($A8,'CAPEX - PAN'!$A$3:$T$21,20,FALSE)</f>
        <v>0</v>
      </c>
      <c r="BE8" s="1">
        <f>VLOOKUP($A8,'OPEX - PAN'!$A$3:$T$23,20,FALSE)</f>
        <v>2641856.2584000002</v>
      </c>
      <c r="BF8" s="1">
        <f>VLOOKUP($A8,'RECEITAS - PAN'!$A$3:$T$23,20,FALSE)</f>
        <v>498299.75929999998</v>
      </c>
      <c r="BG8" s="1">
        <f t="shared" si="12"/>
        <v>-2143556.4991000001</v>
      </c>
      <c r="BH8" s="1">
        <f>VLOOKUP($A8,'CAPEX - PAN'!$A$3:$U$21,21,FALSE)</f>
        <v>57756.513688150284</v>
      </c>
      <c r="BI8" s="1">
        <f>VLOOKUP($A8,'OPEX - PAN'!$A$3:$U$23,21,FALSE)</f>
        <v>2643072.9090999998</v>
      </c>
      <c r="BJ8" s="1">
        <f>VLOOKUP($A8,'RECEITAS - PAN'!$A$3:$U$23,21,FALSE)</f>
        <v>512613.29680000001</v>
      </c>
      <c r="BK8" s="1">
        <f t="shared" si="13"/>
        <v>-2188216.12598815</v>
      </c>
      <c r="BL8" s="1">
        <f>VLOOKUP($A8,'CAPEX - PAN'!$A$3:$V$21,22,FALSE)</f>
        <v>5730962.6100000003</v>
      </c>
      <c r="BM8" s="1">
        <f>VLOOKUP($A8,'OPEX - PAN'!$A$3:$V$23,22,FALSE)</f>
        <v>2644311.6208000001</v>
      </c>
      <c r="BN8" s="1">
        <f>VLOOKUP($A8,'RECEITAS - PAN'!$A$3:$V$23,22,FALSE)</f>
        <v>527186.37620000006</v>
      </c>
      <c r="BO8" s="1">
        <f t="shared" si="14"/>
        <v>-7848087.8546000002</v>
      </c>
      <c r="BP8" s="1">
        <f>VLOOKUP($A8,'CAPEX - PAN'!$A$3:$W$21,23,FALSE)</f>
        <v>57756.513688150284</v>
      </c>
      <c r="BQ8" s="1">
        <f>VLOOKUP($A8,'OPEX - PAN'!$A$3:$W$23,23,FALSE)</f>
        <v>2645586.2072999999</v>
      </c>
      <c r="BR8" s="1">
        <f>VLOOKUP($A8,'RECEITAS - PAN'!$A$3:$W$23,23,FALSE)</f>
        <v>542181.51060000004</v>
      </c>
      <c r="BS8" s="1">
        <f t="shared" si="15"/>
        <v>-2161161.2103881501</v>
      </c>
      <c r="BT8" s="1">
        <f>VLOOKUP($A8,'CAPEX - PAN'!$A$3:$X$21,24,FALSE)</f>
        <v>0</v>
      </c>
      <c r="BU8" s="1">
        <f>VLOOKUP($A8,'OPEX - PAN'!$A$3:$X$23,24,FALSE)</f>
        <v>2646888.5021000002</v>
      </c>
      <c r="BV8" s="1">
        <f>VLOOKUP($A8,'RECEITAS - PAN'!$A$3:$X$23,24,FALSE)</f>
        <v>557502.6263</v>
      </c>
      <c r="BW8" s="1">
        <f t="shared" si="16"/>
        <v>-2089385.8758</v>
      </c>
      <c r="BX8" s="1">
        <f>VLOOKUP($A8,'CAPEX - PAN'!$A$3:$Y$21,25,FALSE)</f>
        <v>252440.82368815027</v>
      </c>
      <c r="BY8" s="1">
        <f>VLOOKUP($A8,'OPEX - PAN'!$A$3:$Y$23,25,FALSE)</f>
        <v>2648228.5811000001</v>
      </c>
      <c r="BZ8" s="1">
        <f>VLOOKUP($A8,'RECEITAS - PAN'!$A$3:$Y$23,25,FALSE)</f>
        <v>573268.26170000003</v>
      </c>
      <c r="CA8" s="1">
        <f t="shared" si="17"/>
        <v>-2327401.1430881503</v>
      </c>
      <c r="CB8" s="1">
        <f>VLOOKUP($A8,'CAPEX - PAN'!$A$3:$Z$21,26,FALSE)</f>
        <v>0</v>
      </c>
      <c r="CC8" s="1">
        <f>VLOOKUP($A8,'OPEX - PAN'!$A$3:$Z$23,26,FALSE)</f>
        <v>2649564.0484000002</v>
      </c>
      <c r="CD8" s="1">
        <f>VLOOKUP($A8,'RECEITAS - PAN'!$A$3:$Z$23,26,FALSE)</f>
        <v>588979.64139999996</v>
      </c>
      <c r="CE8" s="1">
        <f t="shared" si="18"/>
        <v>-2060584.4070000001</v>
      </c>
      <c r="CF8" s="1">
        <f>VLOOKUP($A8,'CAPEX - PAN'!$A$3:$AA$21,27,FALSE)</f>
        <v>9916710.1936881486</v>
      </c>
      <c r="CG8" s="1">
        <f>VLOOKUP($A8,'OPEX - PAN'!$A$3:$AA$23,27,FALSE)</f>
        <v>2650931.8358</v>
      </c>
      <c r="CH8" s="1">
        <f>VLOOKUP($A8,'RECEITAS - PAN'!$A$3:$AA$23,27,FALSE)</f>
        <v>605071.25800000003</v>
      </c>
      <c r="CI8" s="1">
        <f t="shared" si="19"/>
        <v>-11962570.771488149</v>
      </c>
      <c r="CJ8" s="1">
        <f>VLOOKUP($A8,'CAPEX - PAN'!$A$3:$AB$21,28,FALSE)</f>
        <v>0</v>
      </c>
      <c r="CK8" s="1">
        <f>VLOOKUP($A8,'OPEX - PAN'!$A$3:$AB$23,28,FALSE)</f>
        <v>2652299.6231999998</v>
      </c>
      <c r="CL8" s="1">
        <f>VLOOKUP($A8,'RECEITAS - PAN'!$A$3:$AB$23,28,FALSE)</f>
        <v>621162.87459999998</v>
      </c>
      <c r="CM8" s="1">
        <f t="shared" si="20"/>
        <v>-2031136.7485999998</v>
      </c>
      <c r="CN8" s="1">
        <f>VLOOKUP($A8,'CAPEX - PAN'!$A$3:$AC$21,29,FALSE)</f>
        <v>57756.513688150284</v>
      </c>
      <c r="CO8" s="1">
        <f>VLOOKUP($A8,'OPEX - PAN'!$A$3:$AC$23,29,FALSE)</f>
        <v>2653706.7837999999</v>
      </c>
      <c r="CP8" s="1">
        <f>VLOOKUP($A8,'RECEITAS - PAN'!$A$3:$AC$23,29,FALSE)</f>
        <v>637717.70519999997</v>
      </c>
      <c r="CQ8" s="1">
        <f t="shared" si="21"/>
        <v>-2073745.5922881502</v>
      </c>
      <c r="CR8" s="1">
        <f>VLOOKUP($A8,'CAPEX - PAN'!$A$3:$AD$21,30,FALSE)</f>
        <v>0</v>
      </c>
      <c r="CS8" s="1">
        <f>VLOOKUP($A8,'OPEX - PAN'!$A$3:$AD$23,30,FALSE)</f>
        <v>2655094.7228000001</v>
      </c>
      <c r="CT8" s="1">
        <f>VLOOKUP($A8,'RECEITAS - PAN'!$A$3:$AD$23,30,FALSE)</f>
        <v>654046.39899999998</v>
      </c>
      <c r="CU8" s="1">
        <f t="shared" si="22"/>
        <v>-2001048.3238000001</v>
      </c>
      <c r="CV8" s="1">
        <f>VLOOKUP($A8,'CAPEX - PAN'!$A$3:$AE$21,31,FALSE)</f>
        <v>57756.513688150284</v>
      </c>
      <c r="CW8" s="1">
        <f>VLOOKUP($A8,'OPEX - PAN'!$A$3:$AE$23,31,FALSE)</f>
        <v>2656507.8511999999</v>
      </c>
      <c r="CX8" s="1">
        <f>VLOOKUP($A8,'RECEITAS - PAN'!$A$3:$AE$23,31,FALSE)</f>
        <v>670671.43940000003</v>
      </c>
      <c r="CY8" s="1">
        <f t="shared" si="23"/>
        <v>-2043592.9254881502</v>
      </c>
      <c r="CZ8" s="1">
        <f>VLOOKUP($A8,'CAPEX - PAN'!$A$3:$AF$21,32,FALSE)</f>
        <v>194684.31</v>
      </c>
      <c r="DA8" s="1">
        <f>VLOOKUP($A8,'OPEX - PAN'!$A$3:$AF$23,32,FALSE)</f>
        <v>2657908.8111</v>
      </c>
      <c r="DB8" s="1">
        <f>VLOOKUP($A8,'RECEITAS - PAN'!$A$3:$AF$23,32,FALSE)</f>
        <v>687153.32010000001</v>
      </c>
      <c r="DC8" s="1">
        <f t="shared" si="24"/>
        <v>-2165439.801</v>
      </c>
      <c r="DD8" s="1">
        <f>VLOOKUP($A8,'CAPEX - PAN'!$A$3:$AG$21,33,FALSE)</f>
        <v>57756.513688150284</v>
      </c>
      <c r="DE8" s="1">
        <f>VLOOKUP($A8,'OPEX - PAN'!$A$3:$AG$23,33,FALSE)</f>
        <v>2659324.4583999999</v>
      </c>
      <c r="DF8" s="1">
        <f>VLOOKUP($A8,'RECEITAS - PAN'!$A$3:$AG$23,33,FALSE)</f>
        <v>703807.99509999994</v>
      </c>
      <c r="DG8" s="1">
        <f t="shared" si="25"/>
        <v>-2013272.9769881503</v>
      </c>
      <c r="DH8" s="1">
        <f>VLOOKUP($A8,'CAPEX - PAN'!$A$3:$AH$21,34,FALSE)</f>
        <v>0</v>
      </c>
      <c r="DI8" s="1">
        <f>VLOOKUP($A8,'OPEX - PAN'!$A$3:$AH$23,34,FALSE)</f>
        <v>2660775.3711000001</v>
      </c>
      <c r="DJ8" s="1">
        <f>VLOOKUP($A8,'RECEITAS - PAN'!$A$3:$AH$23,34,FALSE)</f>
        <v>720877.55519999994</v>
      </c>
      <c r="DK8" s="1">
        <f t="shared" si="26"/>
        <v>-1939897.8159000003</v>
      </c>
      <c r="DL8" s="1">
        <f>VLOOKUP($A8,'CAPEX - PAN'!$A$3:$AI$21,35,FALSE)</f>
        <v>252440.82368815027</v>
      </c>
      <c r="DM8" s="1">
        <f>VLOOKUP($A8,'OPEX - PAN'!$A$3:$AI$23,35,FALSE)</f>
        <v>2662288.3391999998</v>
      </c>
      <c r="DN8" s="1">
        <f>VLOOKUP($A8,'RECEITAS - PAN'!$A$3:$AI$23,35,FALSE)</f>
        <v>738677.18030000001</v>
      </c>
      <c r="DO8" s="1">
        <f t="shared" si="27"/>
        <v>-2176051.9825881501</v>
      </c>
      <c r="DP8" s="1">
        <f>VLOOKUP($A8,'CAPEX - PAN'!$A$3:$AJ$21,36,FALSE)</f>
        <v>0</v>
      </c>
      <c r="DQ8" s="1">
        <f>VLOOKUP($A8,'OPEX - PAN'!$A$3:$AJ$23,36,FALSE)</f>
        <v>2662709.6909079365</v>
      </c>
      <c r="DR8" s="1">
        <f>VLOOKUP($A8,'RECEITAS - PAN'!$A$3:$AJ$23,36,FALSE)</f>
        <v>743634.25920873135</v>
      </c>
      <c r="DS8" s="1">
        <f t="shared" si="28"/>
        <v>-1919075.4316992052</v>
      </c>
      <c r="DT8" s="1">
        <f>VLOOKUP($A8,'CAPEX - PAN'!$A$3:$AK$21,37,FALSE)</f>
        <v>57756.513688150284</v>
      </c>
      <c r="DU8" s="1">
        <f>VLOOKUP($A8,'OPEX - PAN'!$A$3:$AK$23,37,FALSE)</f>
        <v>2663991.0722797052</v>
      </c>
      <c r="DV8" s="1">
        <f>VLOOKUP($A8,'RECEITAS - PAN'!$A$3:$AK$23,37,FALSE)</f>
        <v>758709.33414093032</v>
      </c>
      <c r="DW8" s="1">
        <f t="shared" si="29"/>
        <v>-1963038.2518269252</v>
      </c>
      <c r="DX8" s="12">
        <f t="shared" si="30"/>
        <v>106288639.22532223</v>
      </c>
      <c r="DY8" s="12">
        <f t="shared" si="31"/>
        <v>79364949.110687643</v>
      </c>
      <c r="DZ8" s="12">
        <f t="shared" si="32"/>
        <v>15722076.03964966</v>
      </c>
      <c r="EA8" s="12">
        <f t="shared" si="33"/>
        <v>-169931512.29636022</v>
      </c>
      <c r="EB8" s="3">
        <f>VLOOKUP(A8,'CAPEX - PAN'!$A$3:$AN$21,40,FALSE)</f>
        <v>1</v>
      </c>
      <c r="EC8" s="3">
        <f>VLOOKUP(A8,'BASE PAN - CAPEX'!$A$3:$H$22,8,FALSE)</f>
        <v>3</v>
      </c>
      <c r="ED8" s="63">
        <f t="shared" si="34"/>
        <v>-129004109.03841706</v>
      </c>
    </row>
    <row r="9" spans="1:134" x14ac:dyDescent="0.25">
      <c r="A9" t="s">
        <v>56</v>
      </c>
      <c r="B9" t="s">
        <v>96</v>
      </c>
      <c r="C9">
        <v>110030</v>
      </c>
      <c r="D9" t="s">
        <v>58</v>
      </c>
      <c r="E9" t="s">
        <v>57</v>
      </c>
      <c r="F9" t="s">
        <v>25</v>
      </c>
      <c r="G9" t="s">
        <v>28</v>
      </c>
      <c r="H9" s="1">
        <f>VLOOKUP($A9,'CAPEX - PAN'!$A$3:$H$23,8,FALSE)</f>
        <v>25954316.799999997</v>
      </c>
      <c r="I9" s="1">
        <f>VLOOKUP($A9,'OPEX - PAN'!$A$3:$H$23,8,FALSE)</f>
        <v>4329618.9031999996</v>
      </c>
      <c r="J9" s="1">
        <f>VLOOKUP($A9,'RECEITAS - PAN'!$A$3:$H$23,8,FALSE)</f>
        <v>357789.40659999999</v>
      </c>
      <c r="K9" s="1">
        <f t="shared" si="0"/>
        <v>-29926146.296599995</v>
      </c>
      <c r="L9" s="1">
        <f>VLOOKUP($A9,'CAPEX - PAN'!$A$3:$I$21,9,FALSE)</f>
        <v>8482695.8372310065</v>
      </c>
      <c r="M9" s="1">
        <f>VLOOKUP($A9,'OPEX - PAN'!$A$3:$I$23,9,FALSE)</f>
        <v>4333139.8969999999</v>
      </c>
      <c r="N9" s="1">
        <f>VLOOKUP($A9,'RECEITAS - PAN'!$A$3:$I$23,9,FALSE)</f>
        <v>378501.13520000002</v>
      </c>
      <c r="O9" s="1">
        <f t="shared" si="35"/>
        <v>-12437334.599031007</v>
      </c>
      <c r="P9" s="1">
        <f>VLOOKUP($A9,'CAPEX - PAN'!$A$3:$J$21,10,FALSE)</f>
        <v>8397000</v>
      </c>
      <c r="Q9" s="1">
        <f>VLOOKUP($A9,'OPEX - PAN'!$A$3:$J$23,10,FALSE)</f>
        <v>4336225.6052999999</v>
      </c>
      <c r="R9" s="1">
        <f>VLOOKUP($A9,'RECEITAS - PAN'!$A$3:$J$23,10,FALSE)</f>
        <v>396652.36015000002</v>
      </c>
      <c r="S9" s="1">
        <f t="shared" si="2"/>
        <v>-12336573.24515</v>
      </c>
      <c r="T9" s="1">
        <f>VLOOKUP($A9,'CAPEX - PAN'!$A$3:$K$21,11,FALSE)</f>
        <v>85695.837231005775</v>
      </c>
      <c r="U9" s="1">
        <f>VLOOKUP($A9,'OPEX - PAN'!$A$3:$K$23,11,FALSE)</f>
        <v>4339150.9539000001</v>
      </c>
      <c r="V9" s="1">
        <f>VLOOKUP($A9,'RECEITAS - PAN'!$A$3:$K$23,11,FALSE)</f>
        <v>827720.58570000005</v>
      </c>
      <c r="W9" s="1">
        <f t="shared" si="3"/>
        <v>-3597126.2054310059</v>
      </c>
      <c r="X9" s="1">
        <f>VLOOKUP($A9,'CAPEX - PAN'!$A$3:$L$21,12,FALSE)</f>
        <v>226461.74</v>
      </c>
      <c r="Y9" s="1">
        <f>VLOOKUP($A9,'OPEX - PAN'!$A$3:$L$23,12,FALSE)</f>
        <v>4341926.2224000003</v>
      </c>
      <c r="Z9" s="1">
        <f>VLOOKUP($A9,'RECEITAS - PAN'!$A$3:$L$23,12,FALSE)</f>
        <v>860370.80350000004</v>
      </c>
      <c r="AA9" s="1">
        <f t="shared" si="4"/>
        <v>-3708017.1589000002</v>
      </c>
      <c r="AB9" s="1">
        <f>VLOOKUP($A9,'CAPEX - PAN'!$A$3:$M$21,13,FALSE)</f>
        <v>85695.837231005775</v>
      </c>
      <c r="AC9" s="1">
        <f>VLOOKUP($A9,'OPEX - PAN'!$A$3:$M$23,13,FALSE)</f>
        <v>4344598.8234999999</v>
      </c>
      <c r="AD9" s="1">
        <f>VLOOKUP($A9,'RECEITAS - PAN'!$A$3:$M$23,13,FALSE)</f>
        <v>891813.17039999994</v>
      </c>
      <c r="AE9" s="1">
        <f t="shared" si="5"/>
        <v>-3538481.4903310053</v>
      </c>
      <c r="AF9" s="1">
        <f>VLOOKUP($A9,'CAPEX - PAN'!$A$3:$N$21,14,FALSE)</f>
        <v>0</v>
      </c>
      <c r="AG9" s="1">
        <f>VLOOKUP($A9,'OPEX - PAN'!$A$3:$N$23,14,FALSE)</f>
        <v>4347123.2330999998</v>
      </c>
      <c r="AH9" s="1">
        <f>VLOOKUP($A9,'RECEITAS - PAN'!$A$3:$N$23,14,FALSE)</f>
        <v>921512.10640000005</v>
      </c>
      <c r="AI9" s="1">
        <f t="shared" si="6"/>
        <v>-3425611.1266999999</v>
      </c>
      <c r="AJ9" s="1">
        <f>VLOOKUP($A9,'CAPEX - PAN'!$A$3:$O$21,15,FALSE)</f>
        <v>312157.57723100577</v>
      </c>
      <c r="AK9" s="1">
        <f>VLOOKUP($A9,'OPEX - PAN'!$A$3:$O$23,15,FALSE)</f>
        <v>4349468.3713999996</v>
      </c>
      <c r="AL9" s="1">
        <f>VLOOKUP($A9,'RECEITAS - PAN'!$A$3:$O$23,15,FALSE)</f>
        <v>949101.96829999995</v>
      </c>
      <c r="AM9" s="1">
        <f t="shared" si="7"/>
        <v>-3712523.9803310055</v>
      </c>
      <c r="AN9" s="1">
        <f>VLOOKUP($A9,'CAPEX - PAN'!$A$3:$P$21,16,FALSE)</f>
        <v>0</v>
      </c>
      <c r="AO9" s="1">
        <f>VLOOKUP($A9,'OPEX - PAN'!$A$3:$P$23,16,FALSE)</f>
        <v>4351704.2649999997</v>
      </c>
      <c r="AP9" s="1">
        <f>VLOOKUP($A9,'RECEITAS - PAN'!$A$3:$P$23,16,FALSE)</f>
        <v>975406.59979999997</v>
      </c>
      <c r="AQ9" s="1">
        <f t="shared" si="8"/>
        <v>-3376297.6651999997</v>
      </c>
      <c r="AR9" s="1">
        <f>VLOOKUP($A9,'CAPEX - PAN'!$A$3:$Q$21,17,FALSE)</f>
        <v>11187788.127231007</v>
      </c>
      <c r="AS9" s="1">
        <f>VLOOKUP($A9,'OPEX - PAN'!$A$3:$Q$23,17,FALSE)</f>
        <v>4353923.4560000002</v>
      </c>
      <c r="AT9" s="1">
        <f>VLOOKUP($A9,'RECEITAS - PAN'!$A$3:$Q$23,17,FALSE)</f>
        <v>1001514.7291</v>
      </c>
      <c r="AU9" s="1">
        <f t="shared" si="9"/>
        <v>-14540196.854131008</v>
      </c>
      <c r="AV9" s="1">
        <f>VLOOKUP($A9,'CAPEX - PAN'!$A$3:$R$21,18,FALSE)</f>
        <v>0</v>
      </c>
      <c r="AW9" s="1">
        <f>VLOOKUP($A9,'OPEX - PAN'!$A$3:$R$23,18,FALSE)</f>
        <v>4356138.0352999996</v>
      </c>
      <c r="AX9" s="1">
        <f>VLOOKUP($A9,'RECEITAS - PAN'!$A$3:$R$23,18,FALSE)</f>
        <v>1027568.6027</v>
      </c>
      <c r="AY9" s="1">
        <f t="shared" si="10"/>
        <v>-3328569.4325999995</v>
      </c>
      <c r="AZ9" s="1">
        <f>VLOOKUP($A9,'CAPEX - PAN'!$A$3:$S$21,19,FALSE)</f>
        <v>85695.837231005775</v>
      </c>
      <c r="BA9" s="1">
        <f>VLOOKUP($A9,'OPEX - PAN'!$A$3:$S$23,19,FALSE)</f>
        <v>4358417.6809999999</v>
      </c>
      <c r="BB9" s="1">
        <f>VLOOKUP($A9,'RECEITAS - PAN'!$A$3:$S$23,19,FALSE)</f>
        <v>1054387.9637</v>
      </c>
      <c r="BC9" s="1">
        <f t="shared" si="11"/>
        <v>-3389725.5545310052</v>
      </c>
      <c r="BD9" s="1">
        <f>VLOOKUP($A9,'CAPEX - PAN'!$A$3:$T$21,20,FALSE)</f>
        <v>0</v>
      </c>
      <c r="BE9" s="1">
        <f>VLOOKUP($A9,'OPEX - PAN'!$A$3:$T$23,20,FALSE)</f>
        <v>4360675.0822999999</v>
      </c>
      <c r="BF9" s="1">
        <f>VLOOKUP($A9,'RECEITAS - PAN'!$A$3:$T$23,20,FALSE)</f>
        <v>1080945.6265</v>
      </c>
      <c r="BG9" s="1">
        <f t="shared" si="12"/>
        <v>-3279729.4557999996</v>
      </c>
      <c r="BH9" s="1">
        <f>VLOOKUP($A9,'CAPEX - PAN'!$A$3:$U$21,21,FALSE)</f>
        <v>85695.837231005775</v>
      </c>
      <c r="BI9" s="1">
        <f>VLOOKUP($A9,'OPEX - PAN'!$A$3:$U$23,21,FALSE)</f>
        <v>4362977.3985000001</v>
      </c>
      <c r="BJ9" s="1">
        <f>VLOOKUP($A9,'RECEITAS - PAN'!$A$3:$U$23,21,FALSE)</f>
        <v>1108031.6993</v>
      </c>
      <c r="BK9" s="1">
        <f t="shared" si="13"/>
        <v>-3340641.5364310062</v>
      </c>
      <c r="BL9" s="1">
        <f>VLOOKUP($A9,'CAPEX - PAN'!$A$3:$V$21,22,FALSE)</f>
        <v>7321758.5600000005</v>
      </c>
      <c r="BM9" s="1">
        <f>VLOOKUP($A9,'OPEX - PAN'!$A$3:$V$23,22,FALSE)</f>
        <v>4365293.8984000003</v>
      </c>
      <c r="BN9" s="1">
        <f>VLOOKUP($A9,'RECEITAS - PAN'!$A$3:$V$23,22,FALSE)</f>
        <v>1135284.6396999999</v>
      </c>
      <c r="BO9" s="1">
        <f t="shared" si="14"/>
        <v>-10551767.818700001</v>
      </c>
      <c r="BP9" s="1">
        <f>VLOOKUP($A9,'CAPEX - PAN'!$A$3:$W$21,23,FALSE)</f>
        <v>85695.837231005775</v>
      </c>
      <c r="BQ9" s="1">
        <f>VLOOKUP($A9,'OPEX - PAN'!$A$3:$W$23,23,FALSE)</f>
        <v>4367670.7473999998</v>
      </c>
      <c r="BR9" s="1">
        <f>VLOOKUP($A9,'RECEITAS - PAN'!$A$3:$W$23,23,FALSE)</f>
        <v>1163247.5686999999</v>
      </c>
      <c r="BS9" s="1">
        <f t="shared" si="15"/>
        <v>-3290119.0159310056</v>
      </c>
      <c r="BT9" s="1">
        <f>VLOOKUP($A9,'CAPEX - PAN'!$A$3:$X$21,24,FALSE)</f>
        <v>0</v>
      </c>
      <c r="BU9" s="1">
        <f>VLOOKUP($A9,'OPEX - PAN'!$A$3:$X$23,24,FALSE)</f>
        <v>4370118.6705</v>
      </c>
      <c r="BV9" s="1">
        <f>VLOOKUP($A9,'RECEITAS - PAN'!$A$3:$X$23,24,FALSE)</f>
        <v>1192046.6636000001</v>
      </c>
      <c r="BW9" s="1">
        <f t="shared" si="16"/>
        <v>-3178072.0068999999</v>
      </c>
      <c r="BX9" s="1">
        <f>VLOOKUP($A9,'CAPEX - PAN'!$A$3:$Y$21,25,FALSE)</f>
        <v>312157.57723100577</v>
      </c>
      <c r="BY9" s="1">
        <f>VLOOKUP($A9,'OPEX - PAN'!$A$3:$Y$23,25,FALSE)</f>
        <v>4372587.2370999996</v>
      </c>
      <c r="BZ9" s="1">
        <f>VLOOKUP($A9,'RECEITAS - PAN'!$A$3:$Y$23,25,FALSE)</f>
        <v>1221088.6236</v>
      </c>
      <c r="CA9" s="1">
        <f t="shared" si="17"/>
        <v>-3463656.1907310053</v>
      </c>
      <c r="CB9" s="1">
        <f>VLOOKUP($A9,'CAPEX - PAN'!$A$3:$Z$21,26,FALSE)</f>
        <v>0</v>
      </c>
      <c r="CC9" s="1">
        <f>VLOOKUP($A9,'OPEX - PAN'!$A$3:$Z$23,26,FALSE)</f>
        <v>4375018.4456000002</v>
      </c>
      <c r="CD9" s="1">
        <f>VLOOKUP($A9,'RECEITAS - PAN'!$A$3:$Z$23,26,FALSE)</f>
        <v>1249691.0774000001</v>
      </c>
      <c r="CE9" s="1">
        <f t="shared" si="18"/>
        <v>-3125327.3682000004</v>
      </c>
      <c r="CF9" s="1">
        <f>VLOOKUP($A9,'CAPEX - PAN'!$A$3:$AA$21,27,FALSE)</f>
        <v>11187788.127231007</v>
      </c>
      <c r="CG9" s="1">
        <f>VLOOKUP($A9,'OPEX - PAN'!$A$3:$AA$23,27,FALSE)</f>
        <v>4377485.6561000003</v>
      </c>
      <c r="CH9" s="1">
        <f>VLOOKUP($A9,'RECEITAS - PAN'!$A$3:$AA$23,27,FALSE)</f>
        <v>1278717.0833000001</v>
      </c>
      <c r="CI9" s="1">
        <f t="shared" si="19"/>
        <v>-14286556.700031009</v>
      </c>
      <c r="CJ9" s="1">
        <f>VLOOKUP($A9,'CAPEX - PAN'!$A$3:$AB$21,28,FALSE)</f>
        <v>0</v>
      </c>
      <c r="CK9" s="1">
        <f>VLOOKUP($A9,'OPEX - PAN'!$A$3:$AB$23,28,FALSE)</f>
        <v>4379944.5730999997</v>
      </c>
      <c r="CL9" s="1">
        <f>VLOOKUP($A9,'RECEITAS - PAN'!$A$3:$AB$23,28,FALSE)</f>
        <v>1307645.5183000001</v>
      </c>
      <c r="CM9" s="1">
        <f t="shared" si="20"/>
        <v>-3072299.0547999996</v>
      </c>
      <c r="CN9" s="1">
        <f>VLOOKUP($A9,'CAPEX - PAN'!$A$3:$AC$21,29,FALSE)</f>
        <v>85695.837231005775</v>
      </c>
      <c r="CO9" s="1">
        <f>VLOOKUP($A9,'OPEX - PAN'!$A$3:$AC$23,29,FALSE)</f>
        <v>4382326.7593999999</v>
      </c>
      <c r="CP9" s="1">
        <f>VLOOKUP($A9,'RECEITAS - PAN'!$A$3:$AC$23,29,FALSE)</f>
        <v>1335671.2390999999</v>
      </c>
      <c r="CQ9" s="1">
        <f t="shared" si="21"/>
        <v>-3132351.3575310055</v>
      </c>
      <c r="CR9" s="1">
        <f>VLOOKUP($A9,'CAPEX - PAN'!$A$3:$AD$21,30,FALSE)</f>
        <v>0</v>
      </c>
      <c r="CS9" s="1">
        <f>VLOOKUP($A9,'OPEX - PAN'!$A$3:$AD$23,30,FALSE)</f>
        <v>4384611.8690999998</v>
      </c>
      <c r="CT9" s="1">
        <f>VLOOKUP($A9,'RECEITAS - PAN'!$A$3:$AD$23,30,FALSE)</f>
        <v>1362554.8829999999</v>
      </c>
      <c r="CU9" s="1">
        <f t="shared" si="22"/>
        <v>-3022056.9860999999</v>
      </c>
      <c r="CV9" s="1">
        <f>VLOOKUP($A9,'CAPEX - PAN'!$A$3:$AE$21,31,FALSE)</f>
        <v>85695.837231005775</v>
      </c>
      <c r="CW9" s="1">
        <f>VLOOKUP($A9,'OPEX - PAN'!$A$3:$AE$23,31,FALSE)</f>
        <v>4386891.5148</v>
      </c>
      <c r="CX9" s="1">
        <f>VLOOKUP($A9,'RECEITAS - PAN'!$A$3:$AE$23,31,FALSE)</f>
        <v>1389374.2439999999</v>
      </c>
      <c r="CY9" s="1">
        <f t="shared" si="23"/>
        <v>-3083213.1080310056</v>
      </c>
      <c r="CZ9" s="1">
        <f>VLOOKUP($A9,'CAPEX - PAN'!$A$3:$AF$21,32,FALSE)</f>
        <v>226461.74</v>
      </c>
      <c r="DA9" s="1">
        <f>VLOOKUP($A9,'OPEX - PAN'!$A$3:$AF$23,32,FALSE)</f>
        <v>4389101.0562000005</v>
      </c>
      <c r="DB9" s="1">
        <f>VLOOKUP($A9,'RECEITAS - PAN'!$A$3:$AF$23,32,FALSE)</f>
        <v>1415368.8483</v>
      </c>
      <c r="DC9" s="1">
        <f t="shared" si="24"/>
        <v>-3200193.947900001</v>
      </c>
      <c r="DD9" s="1">
        <f>VLOOKUP($A9,'CAPEX - PAN'!$A$3:$AG$21,33,FALSE)</f>
        <v>85695.837231005775</v>
      </c>
      <c r="DE9" s="1">
        <f>VLOOKUP($A9,'OPEX - PAN'!$A$3:$AG$23,33,FALSE)</f>
        <v>4391321.41</v>
      </c>
      <c r="DF9" s="1">
        <f>VLOOKUP($A9,'RECEITAS - PAN'!$A$3:$AG$23,33,FALSE)</f>
        <v>1441490.6583</v>
      </c>
      <c r="DG9" s="1">
        <f t="shared" si="25"/>
        <v>-3035526.5889310054</v>
      </c>
      <c r="DH9" s="1">
        <f>VLOOKUP($A9,'CAPEX - PAN'!$A$3:$AH$21,34,FALSE)</f>
        <v>0</v>
      </c>
      <c r="DI9" s="1">
        <f>VLOOKUP($A9,'OPEX - PAN'!$A$3:$AH$23,34,FALSE)</f>
        <v>4393585.3326000003</v>
      </c>
      <c r="DJ9" s="1">
        <f>VLOOKUP($A9,'RECEITAS - PAN'!$A$3:$AH$23,34,FALSE)</f>
        <v>1468125.0415000001</v>
      </c>
      <c r="DK9" s="1">
        <f t="shared" si="26"/>
        <v>-2925460.2911</v>
      </c>
      <c r="DL9" s="1">
        <f>VLOOKUP($A9,'CAPEX - PAN'!$A$3:$AI$21,35,FALSE)</f>
        <v>312157.57723100577</v>
      </c>
      <c r="DM9" s="1">
        <f>VLOOKUP($A9,'OPEX - PAN'!$A$3:$AI$23,35,FALSE)</f>
        <v>4395882.6108999997</v>
      </c>
      <c r="DN9" s="1">
        <f>VLOOKUP($A9,'RECEITAS - PAN'!$A$3:$AI$23,35,FALSE)</f>
        <v>1495151.8451</v>
      </c>
      <c r="DO9" s="1">
        <f t="shared" si="27"/>
        <v>-3212888.3430310055</v>
      </c>
      <c r="DP9" s="1">
        <f>VLOOKUP($A9,'CAPEX - PAN'!$A$3:$AJ$21,36,FALSE)</f>
        <v>0</v>
      </c>
      <c r="DQ9" s="1">
        <f>VLOOKUP($A9,'OPEX - PAN'!$A$3:$AJ$23,36,FALSE)</f>
        <v>4398880.8331246041</v>
      </c>
      <c r="DR9" s="1">
        <f>VLOOKUP($A9,'RECEITAS - PAN'!$A$3:$AJ$23,36,FALSE)</f>
        <v>1530425.0478428528</v>
      </c>
      <c r="DS9" s="1">
        <f t="shared" si="28"/>
        <v>-2868455.7852817513</v>
      </c>
      <c r="DT9" s="1">
        <f>VLOOKUP($A9,'CAPEX - PAN'!$A$3:$AK$21,37,FALSE)</f>
        <v>85695.837231005775</v>
      </c>
      <c r="DU9" s="1">
        <f>VLOOKUP($A9,'OPEX - PAN'!$A$3:$AK$23,37,FALSE)</f>
        <v>4401096.0420066901</v>
      </c>
      <c r="DV9" s="1">
        <f>VLOOKUP($A9,'RECEITAS - PAN'!$A$3:$AK$23,37,FALSE)</f>
        <v>1556486.3287950158</v>
      </c>
      <c r="DW9" s="1">
        <f t="shared" si="29"/>
        <v>-2930305.5504426798</v>
      </c>
      <c r="DX9" s="12">
        <f t="shared" si="30"/>
        <v>74692006.198465094</v>
      </c>
      <c r="DY9" s="12">
        <f t="shared" si="31"/>
        <v>130996904.5842313</v>
      </c>
      <c r="DZ9" s="12">
        <f t="shared" si="32"/>
        <v>33373686.067887865</v>
      </c>
      <c r="EA9" s="12">
        <f t="shared" si="33"/>
        <v>-172315224.71480849</v>
      </c>
      <c r="EB9" s="3">
        <f>VLOOKUP(A9,'CAPEX - PAN'!$A$3:$AN$21,40,FALSE)</f>
        <v>2</v>
      </c>
      <c r="EC9" s="3">
        <f>VLOOKUP(A9,'BASE PAN - CAPEX'!$A$3:$H$22,8,FALSE)</f>
        <v>3</v>
      </c>
      <c r="ED9" s="63">
        <f t="shared" si="34"/>
        <v>-114488742.41986704</v>
      </c>
    </row>
    <row r="10" spans="1:134" x14ac:dyDescent="0.25">
      <c r="A10" t="s">
        <v>63</v>
      </c>
      <c r="B10" t="s">
        <v>66</v>
      </c>
      <c r="C10">
        <v>291170</v>
      </c>
      <c r="D10" t="s">
        <v>65</v>
      </c>
      <c r="E10" t="s">
        <v>66</v>
      </c>
      <c r="F10" t="s">
        <v>34</v>
      </c>
      <c r="G10" t="s">
        <v>28</v>
      </c>
      <c r="H10" s="1">
        <f>VLOOKUP($A10,'CAPEX - PAN'!$A$3:$H$23,8,FALSE)</f>
        <v>21469666.666666668</v>
      </c>
      <c r="I10" s="1">
        <f>VLOOKUP($A10,'OPEX - PAN'!$A$3:$H$23,8,FALSE)</f>
        <v>1679346.8485000001</v>
      </c>
      <c r="J10" s="1">
        <f>VLOOKUP($A10,'RECEITAS - PAN'!$A$3:$H$23,8,FALSE)</f>
        <v>513254.96905000001</v>
      </c>
      <c r="K10" s="1">
        <f t="shared" si="0"/>
        <v>-22635758.546116669</v>
      </c>
      <c r="L10" s="1">
        <f>VLOOKUP($A10,'CAPEX - PAN'!$A$3:$I$21,9,FALSE)</f>
        <v>20658017.802271649</v>
      </c>
      <c r="M10" s="1">
        <f>VLOOKUP($A10,'OPEX - PAN'!$A$3:$I$23,9,FALSE)</f>
        <v>1682253.0611</v>
      </c>
      <c r="N10" s="1">
        <f>VLOOKUP($A10,'RECEITAS - PAN'!$A$3:$I$23,9,FALSE)</f>
        <v>529400.59464999998</v>
      </c>
      <c r="O10" s="1">
        <f t="shared" si="35"/>
        <v>-21810870.268721648</v>
      </c>
      <c r="P10" s="1">
        <f>VLOOKUP($A10,'CAPEX - PAN'!$A$3:$J$21,10,FALSE)</f>
        <v>20594666.666666668</v>
      </c>
      <c r="Q10" s="1">
        <f>VLOOKUP($A10,'OPEX - PAN'!$A$3:$J$23,10,FALSE)</f>
        <v>1684432.3496999999</v>
      </c>
      <c r="R10" s="1">
        <f>VLOOKUP($A10,'RECEITAS - PAN'!$A$3:$J$23,10,FALSE)</f>
        <v>541507.75360000005</v>
      </c>
      <c r="S10" s="1">
        <f t="shared" si="2"/>
        <v>-21737591.262766667</v>
      </c>
      <c r="T10" s="1">
        <f>VLOOKUP($A10,'CAPEX - PAN'!$A$3:$K$21,11,FALSE)</f>
        <v>63351.135604982657</v>
      </c>
      <c r="U10" s="1">
        <f>VLOOKUP($A10,'OPEX - PAN'!$A$3:$K$23,11,FALSE)</f>
        <v>1686611.6383</v>
      </c>
      <c r="V10" s="1">
        <f>VLOOKUP($A10,'RECEITAS - PAN'!$A$3:$K$23,11,FALSE)</f>
        <v>1107229.8252000001</v>
      </c>
      <c r="W10" s="1">
        <f t="shared" si="3"/>
        <v>-642732.94870498253</v>
      </c>
      <c r="X10" s="1">
        <f>VLOOKUP($A10,'CAPEX - PAN'!$A$3:$L$21,12,FALSE)</f>
        <v>197554.34000000003</v>
      </c>
      <c r="Y10" s="1">
        <f>VLOOKUP($A10,'OPEX - PAN'!$A$3:$L$23,12,FALSE)</f>
        <v>1688790.9269000001</v>
      </c>
      <c r="Z10" s="1">
        <f>VLOOKUP($A10,'RECEITAS - PAN'!$A$3:$L$23,12,FALSE)</f>
        <v>1131444.1431</v>
      </c>
      <c r="AA10" s="1">
        <f t="shared" si="4"/>
        <v>-754901.12380000018</v>
      </c>
      <c r="AB10" s="1">
        <f>VLOOKUP($A10,'CAPEX - PAN'!$A$3:$M$21,13,FALSE)</f>
        <v>63351.135604982657</v>
      </c>
      <c r="AC10" s="1">
        <f>VLOOKUP($A10,'OPEX - PAN'!$A$3:$M$23,13,FALSE)</f>
        <v>1690971.6989</v>
      </c>
      <c r="AD10" s="1">
        <f>VLOOKUP($A10,'RECEITAS - PAN'!$A$3:$M$23,13,FALSE)</f>
        <v>1155674.9427</v>
      </c>
      <c r="AE10" s="1">
        <f t="shared" si="5"/>
        <v>-598647.89180498256</v>
      </c>
      <c r="AF10" s="1">
        <f>VLOOKUP($A10,'CAPEX - PAN'!$A$3:$N$21,14,FALSE)</f>
        <v>0</v>
      </c>
      <c r="AG10" s="1">
        <f>VLOOKUP($A10,'OPEX - PAN'!$A$3:$N$23,14,FALSE)</f>
        <v>1693150.9875</v>
      </c>
      <c r="AH10" s="1">
        <f>VLOOKUP($A10,'RECEITAS - PAN'!$A$3:$N$23,14,FALSE)</f>
        <v>1179889.2607</v>
      </c>
      <c r="AI10" s="1">
        <f t="shared" si="6"/>
        <v>-513261.72680000006</v>
      </c>
      <c r="AJ10" s="1">
        <f>VLOOKUP($A10,'CAPEX - PAN'!$A$3:$O$21,15,FALSE)</f>
        <v>260905.4756049827</v>
      </c>
      <c r="AK10" s="1">
        <f>VLOOKUP($A10,'OPEX - PAN'!$A$3:$O$23,15,FALSE)</f>
        <v>1695330.2760999999</v>
      </c>
      <c r="AL10" s="1">
        <f>VLOOKUP($A10,'RECEITAS - PAN'!$A$3:$O$23,15,FALSE)</f>
        <v>1204103.5785999999</v>
      </c>
      <c r="AM10" s="1">
        <f t="shared" si="7"/>
        <v>-752132.17310498271</v>
      </c>
      <c r="AN10" s="1">
        <f>VLOOKUP($A10,'CAPEX - PAN'!$A$3:$P$21,16,FALSE)</f>
        <v>0</v>
      </c>
      <c r="AO10" s="1">
        <f>VLOOKUP($A10,'OPEX - PAN'!$A$3:$P$23,16,FALSE)</f>
        <v>1697509.5647</v>
      </c>
      <c r="AP10" s="1">
        <f>VLOOKUP($A10,'RECEITAS - PAN'!$A$3:$P$23,16,FALSE)</f>
        <v>1228317.8966000001</v>
      </c>
      <c r="AQ10" s="1">
        <f t="shared" si="8"/>
        <v>-469191.66809999989</v>
      </c>
      <c r="AR10" s="1">
        <f>VLOOKUP($A10,'CAPEX - PAN'!$A$3:$Q$21,17,FALSE)</f>
        <v>6907644.5256049819</v>
      </c>
      <c r="AS10" s="1">
        <f>VLOOKUP($A10,'OPEX - PAN'!$A$3:$Q$23,17,FALSE)</f>
        <v>1699688.8533000001</v>
      </c>
      <c r="AT10" s="1">
        <f>VLOOKUP($A10,'RECEITAS - PAN'!$A$3:$Q$23,17,FALSE)</f>
        <v>1252532.2145</v>
      </c>
      <c r="AU10" s="1">
        <f t="shared" si="9"/>
        <v>-7354801.1644049818</v>
      </c>
      <c r="AV10" s="1">
        <f>VLOOKUP($A10,'CAPEX - PAN'!$A$3:$R$21,18,FALSE)</f>
        <v>0</v>
      </c>
      <c r="AW10" s="1">
        <f>VLOOKUP($A10,'OPEX - PAN'!$A$3:$R$23,18,FALSE)</f>
        <v>1701868.142</v>
      </c>
      <c r="AX10" s="1">
        <f>VLOOKUP($A10,'RECEITAS - PAN'!$A$3:$R$23,18,FALSE)</f>
        <v>1276746.5323999999</v>
      </c>
      <c r="AY10" s="1">
        <f t="shared" si="10"/>
        <v>-425121.60960000008</v>
      </c>
      <c r="AZ10" s="1">
        <f>VLOOKUP($A10,'CAPEX - PAN'!$A$3:$S$21,19,FALSE)</f>
        <v>63351.135604982657</v>
      </c>
      <c r="BA10" s="1">
        <f>VLOOKUP($A10,'OPEX - PAN'!$A$3:$S$23,19,FALSE)</f>
        <v>1704048.9139</v>
      </c>
      <c r="BB10" s="1">
        <f>VLOOKUP($A10,'RECEITAS - PAN'!$A$3:$S$23,19,FALSE)</f>
        <v>1300977.3321</v>
      </c>
      <c r="BC10" s="1">
        <f t="shared" si="11"/>
        <v>-466422.71740498272</v>
      </c>
      <c r="BD10" s="1">
        <f>VLOOKUP($A10,'CAPEX - PAN'!$A$3:$T$21,20,FALSE)</f>
        <v>0</v>
      </c>
      <c r="BE10" s="1">
        <f>VLOOKUP($A10,'OPEX - PAN'!$A$3:$T$23,20,FALSE)</f>
        <v>1706228.2024999999</v>
      </c>
      <c r="BF10" s="1">
        <f>VLOOKUP($A10,'RECEITAS - PAN'!$A$3:$T$23,20,FALSE)</f>
        <v>1325191.6499999999</v>
      </c>
      <c r="BG10" s="1">
        <f t="shared" si="12"/>
        <v>-381036.55249999999</v>
      </c>
      <c r="BH10" s="1">
        <f>VLOOKUP($A10,'CAPEX - PAN'!$A$3:$U$21,21,FALSE)</f>
        <v>63351.135604982657</v>
      </c>
      <c r="BI10" s="1">
        <f>VLOOKUP($A10,'OPEX - PAN'!$A$3:$U$23,21,FALSE)</f>
        <v>1708407.4911</v>
      </c>
      <c r="BJ10" s="1">
        <f>VLOOKUP($A10,'RECEITAS - PAN'!$A$3:$U$23,21,FALSE)</f>
        <v>1349405.9680000001</v>
      </c>
      <c r="BK10" s="1">
        <f t="shared" si="13"/>
        <v>-422352.65870498255</v>
      </c>
      <c r="BL10" s="1">
        <f>VLOOKUP($A10,'CAPEX - PAN'!$A$3:$V$21,22,FALSE)</f>
        <v>5733832.6399999997</v>
      </c>
      <c r="BM10" s="1">
        <f>VLOOKUP($A10,'OPEX - PAN'!$A$3:$V$23,22,FALSE)</f>
        <v>1710586.7797999999</v>
      </c>
      <c r="BN10" s="1">
        <f>VLOOKUP($A10,'RECEITAS - PAN'!$A$3:$V$23,22,FALSE)</f>
        <v>1373620.2859</v>
      </c>
      <c r="BO10" s="1">
        <f t="shared" si="14"/>
        <v>-6070799.1338999998</v>
      </c>
      <c r="BP10" s="1">
        <f>VLOOKUP($A10,'CAPEX - PAN'!$A$3:$W$21,23,FALSE)</f>
        <v>63351.135604982657</v>
      </c>
      <c r="BQ10" s="1">
        <f>VLOOKUP($A10,'OPEX - PAN'!$A$3:$W$23,23,FALSE)</f>
        <v>1712766.0684</v>
      </c>
      <c r="BR10" s="1">
        <f>VLOOKUP($A10,'RECEITAS - PAN'!$A$3:$W$23,23,FALSE)</f>
        <v>1397834.6039</v>
      </c>
      <c r="BS10" s="1">
        <f t="shared" si="15"/>
        <v>-378282.60010498267</v>
      </c>
      <c r="BT10" s="1">
        <f>VLOOKUP($A10,'CAPEX - PAN'!$A$3:$X$21,24,FALSE)</f>
        <v>0</v>
      </c>
      <c r="BU10" s="1">
        <f>VLOOKUP($A10,'OPEX - PAN'!$A$3:$X$23,24,FALSE)</f>
        <v>1714945.3570000001</v>
      </c>
      <c r="BV10" s="1">
        <f>VLOOKUP($A10,'RECEITAS - PAN'!$A$3:$X$23,24,FALSE)</f>
        <v>1422048.9217999999</v>
      </c>
      <c r="BW10" s="1">
        <f t="shared" si="16"/>
        <v>-292896.43520000018</v>
      </c>
      <c r="BX10" s="1">
        <f>VLOOKUP($A10,'CAPEX - PAN'!$A$3:$Y$21,25,FALSE)</f>
        <v>260905.4756049827</v>
      </c>
      <c r="BY10" s="1">
        <f>VLOOKUP($A10,'OPEX - PAN'!$A$3:$Y$23,25,FALSE)</f>
        <v>1717126.129</v>
      </c>
      <c r="BZ10" s="1">
        <f>VLOOKUP($A10,'RECEITAS - PAN'!$A$3:$Y$23,25,FALSE)</f>
        <v>1446279.7213999999</v>
      </c>
      <c r="CA10" s="1">
        <f t="shared" si="17"/>
        <v>-531751.88320498273</v>
      </c>
      <c r="CB10" s="1">
        <f>VLOOKUP($A10,'CAPEX - PAN'!$A$3:$Z$21,26,FALSE)</f>
        <v>0</v>
      </c>
      <c r="CC10" s="1">
        <f>VLOOKUP($A10,'OPEX - PAN'!$A$3:$Z$23,26,FALSE)</f>
        <v>1719305.4176</v>
      </c>
      <c r="CD10" s="1">
        <f>VLOOKUP($A10,'RECEITAS - PAN'!$A$3:$Z$23,26,FALSE)</f>
        <v>1470494.0393999999</v>
      </c>
      <c r="CE10" s="1">
        <f t="shared" si="18"/>
        <v>-248811.37820000015</v>
      </c>
      <c r="CF10" s="1">
        <f>VLOOKUP($A10,'CAPEX - PAN'!$A$3:$AA$21,27,FALSE)</f>
        <v>6907644.5256049819</v>
      </c>
      <c r="CG10" s="1">
        <f>VLOOKUP($A10,'OPEX - PAN'!$A$3:$AA$23,27,FALSE)</f>
        <v>1721484.7061999999</v>
      </c>
      <c r="CH10" s="1">
        <f>VLOOKUP($A10,'RECEITAS - PAN'!$A$3:$AA$23,27,FALSE)</f>
        <v>1494708.3573</v>
      </c>
      <c r="CI10" s="1">
        <f t="shared" si="19"/>
        <v>-7134420.8745049816</v>
      </c>
      <c r="CJ10" s="1">
        <f>VLOOKUP($A10,'CAPEX - PAN'!$A$3:$AB$21,28,FALSE)</f>
        <v>0</v>
      </c>
      <c r="CK10" s="1">
        <f>VLOOKUP($A10,'OPEX - PAN'!$A$3:$AB$23,28,FALSE)</f>
        <v>1723663.9948</v>
      </c>
      <c r="CL10" s="1">
        <f>VLOOKUP($A10,'RECEITAS - PAN'!$A$3:$AB$23,28,FALSE)</f>
        <v>1518922.6753</v>
      </c>
      <c r="CM10" s="1">
        <f t="shared" si="20"/>
        <v>-204741.31949999998</v>
      </c>
      <c r="CN10" s="1">
        <f>VLOOKUP($A10,'CAPEX - PAN'!$A$3:$AC$21,29,FALSE)</f>
        <v>63351.135604982657</v>
      </c>
      <c r="CO10" s="1">
        <f>VLOOKUP($A10,'OPEX - PAN'!$A$3:$AC$23,29,FALSE)</f>
        <v>1725843.2834000001</v>
      </c>
      <c r="CP10" s="1">
        <f>VLOOKUP($A10,'RECEITAS - PAN'!$A$3:$AC$23,29,FALSE)</f>
        <v>1543136.9931999999</v>
      </c>
      <c r="CQ10" s="1">
        <f t="shared" si="21"/>
        <v>-246057.42580498283</v>
      </c>
      <c r="CR10" s="1">
        <f>VLOOKUP($A10,'CAPEX - PAN'!$A$3:$AD$21,30,FALSE)</f>
        <v>0</v>
      </c>
      <c r="CS10" s="1">
        <f>VLOOKUP($A10,'OPEX - PAN'!$A$3:$AD$23,30,FALSE)</f>
        <v>1728022.5719999999</v>
      </c>
      <c r="CT10" s="1">
        <f>VLOOKUP($A10,'RECEITAS - PAN'!$A$3:$AD$23,30,FALSE)</f>
        <v>1567351.3112000001</v>
      </c>
      <c r="CU10" s="1">
        <f t="shared" si="22"/>
        <v>-160671.26079999981</v>
      </c>
      <c r="CV10" s="1">
        <f>VLOOKUP($A10,'CAPEX - PAN'!$A$3:$AE$21,31,FALSE)</f>
        <v>63351.135604982657</v>
      </c>
      <c r="CW10" s="1">
        <f>VLOOKUP($A10,'OPEX - PAN'!$A$3:$AE$23,31,FALSE)</f>
        <v>1730203.344</v>
      </c>
      <c r="CX10" s="1">
        <f>VLOOKUP($A10,'RECEITAS - PAN'!$A$3:$AE$23,31,FALSE)</f>
        <v>1591582.1107999999</v>
      </c>
      <c r="CY10" s="1">
        <f t="shared" si="23"/>
        <v>-201972.36880498281</v>
      </c>
      <c r="CZ10" s="1">
        <f>VLOOKUP($A10,'CAPEX - PAN'!$A$3:$AF$21,32,FALSE)</f>
        <v>197554.34000000003</v>
      </c>
      <c r="DA10" s="1">
        <f>VLOOKUP($A10,'OPEX - PAN'!$A$3:$AF$23,32,FALSE)</f>
        <v>1732382.6325999999</v>
      </c>
      <c r="DB10" s="1">
        <f>VLOOKUP($A10,'RECEITAS - PAN'!$A$3:$AF$23,32,FALSE)</f>
        <v>1615796.4287</v>
      </c>
      <c r="DC10" s="1">
        <f t="shared" si="24"/>
        <v>-314140.54389999987</v>
      </c>
      <c r="DD10" s="1">
        <f>VLOOKUP($A10,'CAPEX - PAN'!$A$3:$AG$21,33,FALSE)</f>
        <v>63351.135604982657</v>
      </c>
      <c r="DE10" s="1">
        <f>VLOOKUP($A10,'OPEX - PAN'!$A$3:$AG$23,33,FALSE)</f>
        <v>1734561.9212</v>
      </c>
      <c r="DF10" s="1">
        <f>VLOOKUP($A10,'RECEITAS - PAN'!$A$3:$AG$23,33,FALSE)</f>
        <v>1640010.7467</v>
      </c>
      <c r="DG10" s="1">
        <f t="shared" si="25"/>
        <v>-157902.31010498264</v>
      </c>
      <c r="DH10" s="1">
        <f>VLOOKUP($A10,'CAPEX - PAN'!$A$3:$AH$21,34,FALSE)</f>
        <v>0</v>
      </c>
      <c r="DI10" s="1">
        <f>VLOOKUP($A10,'OPEX - PAN'!$A$3:$AH$23,34,FALSE)</f>
        <v>1736741.2098000001</v>
      </c>
      <c r="DJ10" s="1">
        <f>VLOOKUP($A10,'RECEITAS - PAN'!$A$3:$AH$23,34,FALSE)</f>
        <v>1664225.0645999999</v>
      </c>
      <c r="DK10" s="1">
        <f t="shared" si="26"/>
        <v>-72516.145200000145</v>
      </c>
      <c r="DL10" s="1">
        <f>VLOOKUP($A10,'CAPEX - PAN'!$A$3:$AI$21,35,FALSE)</f>
        <v>260905.4756049827</v>
      </c>
      <c r="DM10" s="1">
        <f>VLOOKUP($A10,'OPEX - PAN'!$A$3:$AI$23,35,FALSE)</f>
        <v>1738920.4985</v>
      </c>
      <c r="DN10" s="1">
        <f>VLOOKUP($A10,'RECEITAS - PAN'!$A$3:$AI$23,35,FALSE)</f>
        <v>1688439.3825999999</v>
      </c>
      <c r="DO10" s="1">
        <f t="shared" si="27"/>
        <v>-311386.59150498279</v>
      </c>
      <c r="DP10" s="1">
        <f>VLOOKUP($A10,'CAPEX - PAN'!$A$3:$AJ$21,36,FALSE)</f>
        <v>0</v>
      </c>
      <c r="DQ10" s="1">
        <f>VLOOKUP($A10,'OPEX - PAN'!$A$3:$AJ$23,36,FALSE)</f>
        <v>1741152.2988365078</v>
      </c>
      <c r="DR10" s="1">
        <f>VLOOKUP($A10,'RECEITAS - PAN'!$A$3:$AJ$23,36,FALSE)</f>
        <v>1713237.1646666676</v>
      </c>
      <c r="DS10" s="1">
        <f t="shared" si="28"/>
        <v>-27915.134169840254</v>
      </c>
      <c r="DT10" s="1">
        <f>VLOOKUP($A10,'CAPEX - PAN'!$A$3:$AK$21,37,FALSE)</f>
        <v>63351.135604982657</v>
      </c>
      <c r="DU10" s="1">
        <f>VLOOKUP($A10,'OPEX - PAN'!$A$3:$AK$23,37,FALSE)</f>
        <v>1743287.3543544211</v>
      </c>
      <c r="DV10" s="1">
        <f>VLOOKUP($A10,'RECEITAS - PAN'!$A$3:$AK$23,37,FALSE)</f>
        <v>1736960.003743656</v>
      </c>
      <c r="DW10" s="1">
        <f t="shared" si="29"/>
        <v>-69678.48621574782</v>
      </c>
      <c r="DX10" s="12">
        <f t="shared" si="30"/>
        <v>84019458.154074714</v>
      </c>
      <c r="DY10" s="12">
        <f t="shared" si="31"/>
        <v>51349632.521990918</v>
      </c>
      <c r="DZ10" s="12">
        <f t="shared" si="32"/>
        <v>39980324.472410329</v>
      </c>
      <c r="EA10" s="12">
        <f t="shared" si="33"/>
        <v>-95388766.203655317</v>
      </c>
      <c r="EB10" s="3">
        <f>VLOOKUP(A10,'CAPEX - PAN'!$A$3:$AN$21,40,FALSE)</f>
        <v>2</v>
      </c>
      <c r="EC10" s="3">
        <f>VLOOKUP(A10,'BASE PAN - CAPEX'!$A$3:$H$22,8,FALSE)</f>
        <v>3</v>
      </c>
      <c r="ED10" s="63">
        <f t="shared" si="34"/>
        <v>-85035621.446434855</v>
      </c>
    </row>
    <row r="11" spans="1:134" x14ac:dyDescent="0.25">
      <c r="A11" t="s">
        <v>67</v>
      </c>
      <c r="B11" t="s">
        <v>98</v>
      </c>
      <c r="C11">
        <v>261390</v>
      </c>
      <c r="D11" t="s">
        <v>69</v>
      </c>
      <c r="E11" t="s">
        <v>70</v>
      </c>
      <c r="F11" t="s">
        <v>31</v>
      </c>
      <c r="G11" t="s">
        <v>28</v>
      </c>
      <c r="H11" s="1">
        <f>VLOOKUP($A11,'CAPEX - PAN'!$A$3:$H$23,8,FALSE)</f>
        <v>7584333.333333334</v>
      </c>
      <c r="I11" s="1">
        <f>VLOOKUP($A11,'OPEX - PAN'!$A$3:$H$23,8,FALSE)</f>
        <v>1116942.1797</v>
      </c>
      <c r="J11" s="1">
        <f>VLOOKUP($A11,'RECEITAS - PAN'!$A$3:$H$23,8,FALSE)</f>
        <v>102915.74205</v>
      </c>
      <c r="K11" s="1">
        <f t="shared" si="0"/>
        <v>-8598359.7709833346</v>
      </c>
      <c r="L11" s="1">
        <f>VLOOKUP($A11,'CAPEX - PAN'!$A$3:$I$21,9,FALSE)</f>
        <v>6709333.333333334</v>
      </c>
      <c r="M11" s="1">
        <f>VLOOKUP($A11,'OPEX - PAN'!$A$3:$I$23,9,FALSE)</f>
        <v>1117743.0289</v>
      </c>
      <c r="N11" s="1">
        <f>VLOOKUP($A11,'RECEITAS - PAN'!$A$3:$I$23,9,FALSE)</f>
        <v>107364.90429999999</v>
      </c>
      <c r="O11" s="1">
        <f t="shared" si="35"/>
        <v>-7719711.4579333337</v>
      </c>
      <c r="P11" s="1">
        <f>VLOOKUP($A11,'CAPEX - PAN'!$A$3:$J$21,10,FALSE)</f>
        <v>6709333.333333334</v>
      </c>
      <c r="Q11" s="1">
        <f>VLOOKUP($A11,'OPEX - PAN'!$A$3:$J$23,10,FALSE)</f>
        <v>1118424.0682999999</v>
      </c>
      <c r="R11" s="1">
        <f>VLOOKUP($A11,'RECEITAS - PAN'!$A$3:$J$23,10,FALSE)</f>
        <v>111148.4564</v>
      </c>
      <c r="S11" s="1">
        <f t="shared" si="2"/>
        <v>-7716608.9452333339</v>
      </c>
      <c r="T11" s="1">
        <f>VLOOKUP($A11,'CAPEX - PAN'!$A$3:$K$21,11,FALSE)</f>
        <v>0</v>
      </c>
      <c r="U11" s="1">
        <f>VLOOKUP($A11,'OPEX - PAN'!$A$3:$K$23,11,FALSE)</f>
        <v>1119050.0922999999</v>
      </c>
      <c r="V11" s="1">
        <f>VLOOKUP($A11,'RECEITAS - PAN'!$A$3:$K$23,11,FALSE)</f>
        <v>229252.7346</v>
      </c>
      <c r="W11" s="1">
        <f t="shared" si="3"/>
        <v>-889797.35769999993</v>
      </c>
      <c r="X11" s="1">
        <f>VLOOKUP($A11,'CAPEX - PAN'!$A$3:$L$21,12,FALSE)</f>
        <v>173426.21</v>
      </c>
      <c r="Y11" s="1">
        <f>VLOOKUP($A11,'OPEX - PAN'!$A$3:$L$23,12,FALSE)</f>
        <v>1119652.1081000001</v>
      </c>
      <c r="Z11" s="1">
        <f>VLOOKUP($A11,'RECEITAS - PAN'!$A$3:$L$23,12,FALSE)</f>
        <v>235941.79980000001</v>
      </c>
      <c r="AA11" s="1">
        <f t="shared" si="4"/>
        <v>-1057136.5183000001</v>
      </c>
      <c r="AB11" s="1">
        <f>VLOOKUP($A11,'CAPEX - PAN'!$A$3:$M$21,13,FALSE)</f>
        <v>0</v>
      </c>
      <c r="AC11" s="1">
        <f>VLOOKUP($A11,'OPEX - PAN'!$A$3:$M$23,13,FALSE)</f>
        <v>1120227.1492000001</v>
      </c>
      <c r="AD11" s="1">
        <f>VLOOKUP($A11,'RECEITAS - PAN'!$A$3:$M$23,13,FALSE)</f>
        <v>242331.14490000001</v>
      </c>
      <c r="AE11" s="1">
        <f t="shared" si="5"/>
        <v>-877896.00430000015</v>
      </c>
      <c r="AF11" s="1">
        <f>VLOOKUP($A11,'CAPEX - PAN'!$A$3:$N$21,14,FALSE)</f>
        <v>0</v>
      </c>
      <c r="AG11" s="1">
        <f>VLOOKUP($A11,'OPEX - PAN'!$A$3:$N$23,14,FALSE)</f>
        <v>1120774.1495999999</v>
      </c>
      <c r="AH11" s="1">
        <f>VLOOKUP($A11,'RECEITAS - PAN'!$A$3:$N$23,14,FALSE)</f>
        <v>248408.9278</v>
      </c>
      <c r="AI11" s="1">
        <f t="shared" si="6"/>
        <v>-872365.22179999994</v>
      </c>
      <c r="AJ11" s="1">
        <f>VLOOKUP($A11,'CAPEX - PAN'!$A$3:$O$21,15,FALSE)</f>
        <v>173426.21</v>
      </c>
      <c r="AK11" s="1">
        <f>VLOOKUP($A11,'OPEX - PAN'!$A$3:$O$23,15,FALSE)</f>
        <v>1121290.5604000001</v>
      </c>
      <c r="AL11" s="1">
        <f>VLOOKUP($A11,'RECEITAS - PAN'!$A$3:$O$23,15,FALSE)</f>
        <v>254146.8247</v>
      </c>
      <c r="AM11" s="1">
        <f t="shared" si="7"/>
        <v>-1040569.9457</v>
      </c>
      <c r="AN11" s="1">
        <f>VLOOKUP($A11,'CAPEX - PAN'!$A$3:$P$21,16,FALSE)</f>
        <v>0</v>
      </c>
      <c r="AO11" s="1">
        <f>VLOOKUP($A11,'OPEX - PAN'!$A$3:$P$23,16,FALSE)</f>
        <v>1121753.439</v>
      </c>
      <c r="AP11" s="1">
        <f>VLOOKUP($A11,'RECEITAS - PAN'!$A$3:$P$23,16,FALSE)</f>
        <v>259289.9209</v>
      </c>
      <c r="AQ11" s="1">
        <f t="shared" si="8"/>
        <v>-862463.51809999999</v>
      </c>
      <c r="AR11" s="1">
        <f>VLOOKUP($A11,'CAPEX - PAN'!$A$3:$Q$21,17,FALSE)</f>
        <v>6436027.4199999999</v>
      </c>
      <c r="AS11" s="1">
        <f>VLOOKUP($A11,'OPEX - PAN'!$A$3:$Q$23,17,FALSE)</f>
        <v>1122217.801</v>
      </c>
      <c r="AT11" s="1">
        <f>VLOOKUP($A11,'RECEITAS - PAN'!$A$3:$Q$23,17,FALSE)</f>
        <v>264449.49890000001</v>
      </c>
      <c r="AU11" s="1">
        <f t="shared" si="9"/>
        <v>-7293795.7220999999</v>
      </c>
      <c r="AV11" s="1">
        <f>VLOOKUP($A11,'CAPEX - PAN'!$A$3:$R$21,18,FALSE)</f>
        <v>0</v>
      </c>
      <c r="AW11" s="1">
        <f>VLOOKUP($A11,'OPEX - PAN'!$A$3:$R$23,18,FALSE)</f>
        <v>1122683.2289</v>
      </c>
      <c r="AX11" s="1">
        <f>VLOOKUP($A11,'RECEITAS - PAN'!$A$3:$R$23,18,FALSE)</f>
        <v>269620.91899999999</v>
      </c>
      <c r="AY11" s="1">
        <f t="shared" si="10"/>
        <v>-853062.30989999999</v>
      </c>
      <c r="AZ11" s="1">
        <f>VLOOKUP($A11,'CAPEX - PAN'!$A$3:$S$21,19,FALSE)</f>
        <v>0</v>
      </c>
      <c r="BA11" s="1">
        <f>VLOOKUP($A11,'OPEX - PAN'!$A$3:$S$23,19,FALSE)</f>
        <v>1123158.8532</v>
      </c>
      <c r="BB11" s="1">
        <f>VLOOKUP($A11,'RECEITAS - PAN'!$A$3:$S$23,19,FALSE)</f>
        <v>274905.63449999999</v>
      </c>
      <c r="BC11" s="1">
        <f t="shared" si="11"/>
        <v>-848253.21870000008</v>
      </c>
      <c r="BD11" s="1">
        <f>VLOOKUP($A11,'CAPEX - PAN'!$A$3:$T$21,20,FALSE)</f>
        <v>0</v>
      </c>
      <c r="BE11" s="1">
        <f>VLOOKUP($A11,'OPEX - PAN'!$A$3:$T$23,20,FALSE)</f>
        <v>1123621.7319</v>
      </c>
      <c r="BF11" s="1">
        <f>VLOOKUP($A11,'RECEITAS - PAN'!$A$3:$T$23,20,FALSE)</f>
        <v>280048.73070000001</v>
      </c>
      <c r="BG11" s="1">
        <f t="shared" si="12"/>
        <v>-843573.00120000006</v>
      </c>
      <c r="BH11" s="1">
        <f>VLOOKUP($A11,'CAPEX - PAN'!$A$3:$U$21,21,FALSE)</f>
        <v>0</v>
      </c>
      <c r="BI11" s="1">
        <f>VLOOKUP($A11,'OPEX - PAN'!$A$3:$U$23,21,FALSE)</f>
        <v>1124089.7089</v>
      </c>
      <c r="BJ11" s="1">
        <f>VLOOKUP($A11,'RECEITAS - PAN'!$A$3:$U$23,21,FALSE)</f>
        <v>285248.47470000002</v>
      </c>
      <c r="BK11" s="1">
        <f t="shared" si="13"/>
        <v>-838841.23419999995</v>
      </c>
      <c r="BL11" s="1">
        <f>VLOOKUP($A11,'CAPEX - PAN'!$A$3:$V$21,22,FALSE)</f>
        <v>5802339.9400000004</v>
      </c>
      <c r="BM11" s="1">
        <f>VLOOKUP($A11,'OPEX - PAN'!$A$3:$V$23,22,FALSE)</f>
        <v>1124565.3333000001</v>
      </c>
      <c r="BN11" s="1">
        <f>VLOOKUP($A11,'RECEITAS - PAN'!$A$3:$V$23,22,FALSE)</f>
        <v>290533.19010000001</v>
      </c>
      <c r="BO11" s="1">
        <f t="shared" si="14"/>
        <v>-6636372.0832000002</v>
      </c>
      <c r="BP11" s="1">
        <f>VLOOKUP($A11,'CAPEX - PAN'!$A$3:$W$21,23,FALSE)</f>
        <v>0</v>
      </c>
      <c r="BQ11" s="1">
        <f>VLOOKUP($A11,'OPEX - PAN'!$A$3:$W$23,23,FALSE)</f>
        <v>1125046.0559</v>
      </c>
      <c r="BR11" s="1">
        <f>VLOOKUP($A11,'RECEITAS - PAN'!$A$3:$W$23,23,FALSE)</f>
        <v>295874.55320000002</v>
      </c>
      <c r="BS11" s="1">
        <f t="shared" si="15"/>
        <v>-829171.50270000007</v>
      </c>
      <c r="BT11" s="1">
        <f>VLOOKUP($A11,'CAPEX - PAN'!$A$3:$X$21,24,FALSE)</f>
        <v>0</v>
      </c>
      <c r="BU11" s="1">
        <f>VLOOKUP($A11,'OPEX - PAN'!$A$3:$X$23,24,FALSE)</f>
        <v>1125511.4837</v>
      </c>
      <c r="BV11" s="1">
        <f>VLOOKUP($A11,'RECEITAS - PAN'!$A$3:$X$23,24,FALSE)</f>
        <v>301045.97330000001</v>
      </c>
      <c r="BW11" s="1">
        <f t="shared" si="16"/>
        <v>-824465.51040000003</v>
      </c>
      <c r="BX11" s="1">
        <f>VLOOKUP($A11,'CAPEX - PAN'!$A$3:$Y$21,25,FALSE)</f>
        <v>173426.21</v>
      </c>
      <c r="BY11" s="1">
        <f>VLOOKUP($A11,'OPEX - PAN'!$A$3:$Y$23,25,FALSE)</f>
        <v>1125998.7881</v>
      </c>
      <c r="BZ11" s="1">
        <f>VLOOKUP($A11,'RECEITAS - PAN'!$A$3:$Y$23,25,FALSE)</f>
        <v>306460.46580000001</v>
      </c>
      <c r="CA11" s="1">
        <f t="shared" si="17"/>
        <v>-992964.53229999996</v>
      </c>
      <c r="CB11" s="1">
        <f>VLOOKUP($A11,'CAPEX - PAN'!$A$3:$Z$21,26,FALSE)</f>
        <v>0</v>
      </c>
      <c r="CC11" s="1">
        <f>VLOOKUP($A11,'OPEX - PAN'!$A$3:$Z$23,26,FALSE)</f>
        <v>1126474.4125000001</v>
      </c>
      <c r="CD11" s="1">
        <f>VLOOKUP($A11,'RECEITAS - PAN'!$A$3:$Z$23,26,FALSE)</f>
        <v>311745.1813</v>
      </c>
      <c r="CE11" s="1">
        <f t="shared" si="18"/>
        <v>-814729.23120000004</v>
      </c>
      <c r="CF11" s="1">
        <f>VLOOKUP($A11,'CAPEX - PAN'!$A$3:$AA$21,27,FALSE)</f>
        <v>6436027.4199999999</v>
      </c>
      <c r="CG11" s="1">
        <f>VLOOKUP($A11,'OPEX - PAN'!$A$3:$AA$23,27,FALSE)</f>
        <v>1126952.5859999999</v>
      </c>
      <c r="CH11" s="1">
        <f>VLOOKUP($A11,'RECEITAS - PAN'!$A$3:$AA$23,27,FALSE)</f>
        <v>317058.2206</v>
      </c>
      <c r="CI11" s="1">
        <f t="shared" si="19"/>
        <v>-7245921.7853999995</v>
      </c>
      <c r="CJ11" s="1">
        <f>VLOOKUP($A11,'CAPEX - PAN'!$A$3:$AB$21,28,FALSE)</f>
        <v>0</v>
      </c>
      <c r="CK11" s="1">
        <f>VLOOKUP($A11,'OPEX - PAN'!$A$3:$AB$23,28,FALSE)</f>
        <v>1127430.7594999999</v>
      </c>
      <c r="CL11" s="1">
        <f>VLOOKUP($A11,'RECEITAS - PAN'!$A$3:$AB$23,28,FALSE)</f>
        <v>322371.2599</v>
      </c>
      <c r="CM11" s="1">
        <f t="shared" si="20"/>
        <v>-805059.49959999998</v>
      </c>
      <c r="CN11" s="1">
        <f>VLOOKUP($A11,'CAPEX - PAN'!$A$3:$AC$21,29,FALSE)</f>
        <v>0</v>
      </c>
      <c r="CO11" s="1">
        <f>VLOOKUP($A11,'OPEX - PAN'!$A$3:$AC$23,29,FALSE)</f>
        <v>1127903.8348000001</v>
      </c>
      <c r="CP11" s="1">
        <f>VLOOKUP($A11,'RECEITAS - PAN'!$A$3:$AC$23,29,FALSE)</f>
        <v>327627.65149999998</v>
      </c>
      <c r="CQ11" s="1">
        <f t="shared" si="21"/>
        <v>-800276.18330000015</v>
      </c>
      <c r="CR11" s="1">
        <f>VLOOKUP($A11,'CAPEX - PAN'!$A$3:$AD$21,30,FALSE)</f>
        <v>0</v>
      </c>
      <c r="CS11" s="1">
        <f>VLOOKUP($A11,'OPEX - PAN'!$A$3:$AD$23,30,FALSE)</f>
        <v>1128366.7134</v>
      </c>
      <c r="CT11" s="1">
        <f>VLOOKUP($A11,'RECEITAS - PAN'!$A$3:$AD$23,30,FALSE)</f>
        <v>332770.74770000001</v>
      </c>
      <c r="CU11" s="1">
        <f t="shared" si="22"/>
        <v>-795595.96570000006</v>
      </c>
      <c r="CV11" s="1">
        <f>VLOOKUP($A11,'CAPEX - PAN'!$A$3:$AE$21,31,FALSE)</f>
        <v>0</v>
      </c>
      <c r="CW11" s="1">
        <f>VLOOKUP($A11,'OPEX - PAN'!$A$3:$AE$23,31,FALSE)</f>
        <v>1128839.7886999999</v>
      </c>
      <c r="CX11" s="1">
        <f>VLOOKUP($A11,'RECEITAS - PAN'!$A$3:$AE$23,31,FALSE)</f>
        <v>338027.13939999999</v>
      </c>
      <c r="CY11" s="1">
        <f t="shared" si="23"/>
        <v>-790812.64929999993</v>
      </c>
      <c r="CZ11" s="1">
        <f>VLOOKUP($A11,'CAPEX - PAN'!$A$3:$AF$21,32,FALSE)</f>
        <v>173426.21</v>
      </c>
      <c r="DA11" s="1">
        <f>VLOOKUP($A11,'OPEX - PAN'!$A$3:$AF$23,32,FALSE)</f>
        <v>1129292.4708</v>
      </c>
      <c r="DB11" s="1">
        <f>VLOOKUP($A11,'RECEITAS - PAN'!$A$3:$AF$23,32,FALSE)</f>
        <v>343056.94030000002</v>
      </c>
      <c r="DC11" s="1">
        <f t="shared" si="24"/>
        <v>-959661.74049999996</v>
      </c>
      <c r="DD11" s="1">
        <f>VLOOKUP($A11,'CAPEX - PAN'!$A$3:$AG$21,33,FALSE)</f>
        <v>0</v>
      </c>
      <c r="DE11" s="1">
        <f>VLOOKUP($A11,'OPEX - PAN'!$A$3:$AG$23,33,FALSE)</f>
        <v>1129742.6037000001</v>
      </c>
      <c r="DF11" s="1">
        <f>VLOOKUP($A11,'RECEITAS - PAN'!$A$3:$AG$23,33,FALSE)</f>
        <v>348058.41739999998</v>
      </c>
      <c r="DG11" s="1">
        <f t="shared" si="25"/>
        <v>-781684.18630000018</v>
      </c>
      <c r="DH11" s="1">
        <f>VLOOKUP($A11,'CAPEX - PAN'!$A$3:$AH$21,34,FALSE)</f>
        <v>0</v>
      </c>
      <c r="DI11" s="1">
        <f>VLOOKUP($A11,'OPEX - PAN'!$A$3:$AH$23,34,FALSE)</f>
        <v>1130206.9657000001</v>
      </c>
      <c r="DJ11" s="1">
        <f>VLOOKUP($A11,'RECEITAS - PAN'!$A$3:$AH$23,34,FALSE)</f>
        <v>353217.99530000001</v>
      </c>
      <c r="DK11" s="1">
        <f t="shared" si="26"/>
        <v>-776988.97039999999</v>
      </c>
      <c r="DL11" s="1">
        <f>VLOOKUP($A11,'CAPEX - PAN'!$A$3:$AI$21,35,FALSE)</f>
        <v>173426.21</v>
      </c>
      <c r="DM11" s="1">
        <f>VLOOKUP($A11,'OPEX - PAN'!$A$3:$AI$23,35,FALSE)</f>
        <v>1130674.9427</v>
      </c>
      <c r="DN11" s="1">
        <f>VLOOKUP($A11,'RECEITAS - PAN'!$A$3:$AI$23,35,FALSE)</f>
        <v>358417.73920000001</v>
      </c>
      <c r="DO11" s="1">
        <f t="shared" si="27"/>
        <v>-945683.41350000002</v>
      </c>
      <c r="DP11" s="1">
        <f>VLOOKUP($A11,'CAPEX - PAN'!$A$3:$AJ$21,36,FALSE)</f>
        <v>0</v>
      </c>
      <c r="DQ11" s="1">
        <f>VLOOKUP($A11,'OPEX - PAN'!$A$3:$AJ$23,36,FALSE)</f>
        <v>1131350.9523825399</v>
      </c>
      <c r="DR11" s="1">
        <f>VLOOKUP($A11,'RECEITAS - PAN'!$A$3:$AJ$23,36,FALSE)</f>
        <v>365928.95815714262</v>
      </c>
      <c r="DS11" s="1">
        <f t="shared" si="28"/>
        <v>-765421.99422539724</v>
      </c>
      <c r="DT11" s="1">
        <f>VLOOKUP($A11,'CAPEX - PAN'!$A$3:$AK$21,37,FALSE)</f>
        <v>0</v>
      </c>
      <c r="DU11" s="1">
        <f>VLOOKUP($A11,'OPEX - PAN'!$A$3:$AK$23,37,FALSE)</f>
        <v>1131788.2865229025</v>
      </c>
      <c r="DV11" s="1">
        <f>VLOOKUP($A11,'RECEITAS - PAN'!$A$3:$AK$23,37,FALSE)</f>
        <v>370788.22638594173</v>
      </c>
      <c r="DW11" s="1">
        <f t="shared" si="29"/>
        <v>-761000.06013696082</v>
      </c>
      <c r="DX11" s="12">
        <f t="shared" si="30"/>
        <v>40544525.830000006</v>
      </c>
      <c r="DY11" s="12">
        <f t="shared" si="31"/>
        <v>33741774.077105448</v>
      </c>
      <c r="DZ11" s="12">
        <f t="shared" si="32"/>
        <v>8448056.3727930821</v>
      </c>
      <c r="EA11" s="12">
        <f t="shared" si="33"/>
        <v>-65838243.534312375</v>
      </c>
      <c r="EB11" s="3">
        <f>VLOOKUP(A11,'CAPEX - PAN'!$A$3:$AN$21,40,FALSE)</f>
        <v>1</v>
      </c>
      <c r="EC11" s="3">
        <f>VLOOKUP(A11,'BASE PAN - CAPEX'!$A$3:$H$22,8,FALSE)</f>
        <v>1</v>
      </c>
      <c r="ED11" s="63">
        <f t="shared" si="34"/>
        <v>-46948806.309350006</v>
      </c>
    </row>
    <row r="12" spans="1:134" x14ac:dyDescent="0.25">
      <c r="A12" t="s">
        <v>71</v>
      </c>
      <c r="B12" t="s">
        <v>99</v>
      </c>
      <c r="C12">
        <v>110004</v>
      </c>
      <c r="D12" t="s">
        <v>73</v>
      </c>
      <c r="E12" t="s">
        <v>72</v>
      </c>
      <c r="F12" t="s">
        <v>25</v>
      </c>
      <c r="G12" t="s">
        <v>28</v>
      </c>
      <c r="H12" s="1">
        <f>VLOOKUP($A12,'CAPEX - PAN'!$A$3:$H$23,8,FALSE)</f>
        <v>4986000</v>
      </c>
      <c r="I12" s="1">
        <f>VLOOKUP($A12,'OPEX - PAN'!$A$3:$H$23,8,FALSE)</f>
        <v>4867122.5055999998</v>
      </c>
      <c r="J12" s="1">
        <f>VLOOKUP($A12,'RECEITAS - PAN'!$A$3:$H$23,8,FALSE)</f>
        <v>816955.08059999999</v>
      </c>
      <c r="K12" s="1">
        <f t="shared" si="0"/>
        <v>-9036167.4250000007</v>
      </c>
      <c r="L12" s="1">
        <f>VLOOKUP($A12,'CAPEX - PAN'!$A$3:$I$21,9,FALSE)</f>
        <v>5076929.2083984856</v>
      </c>
      <c r="M12" s="1">
        <f>VLOOKUP($A12,'OPEX - PAN'!$A$3:$I$23,9,FALSE)</f>
        <v>4875211.6573000001</v>
      </c>
      <c r="N12" s="1">
        <f>VLOOKUP($A12,'RECEITAS - PAN'!$A$3:$I$23,9,FALSE)</f>
        <v>867512.27875000006</v>
      </c>
      <c r="O12" s="1">
        <f t="shared" si="35"/>
        <v>-9084628.586948486</v>
      </c>
      <c r="P12" s="1">
        <f>VLOOKUP($A12,'CAPEX - PAN'!$A$3:$J$21,10,FALSE)</f>
        <v>4986000</v>
      </c>
      <c r="Q12" s="1">
        <f>VLOOKUP($A12,'OPEX - PAN'!$A$3:$J$23,10,FALSE)</f>
        <v>4882179.1885000002</v>
      </c>
      <c r="R12" s="1">
        <f>VLOOKUP($A12,'RECEITAS - PAN'!$A$3:$J$23,10,FALSE)</f>
        <v>911059.34865000006</v>
      </c>
      <c r="S12" s="1">
        <f t="shared" si="2"/>
        <v>-8957119.839850001</v>
      </c>
      <c r="T12" s="1">
        <f>VLOOKUP($A12,'CAPEX - PAN'!$A$3:$K$21,11,FALSE)</f>
        <v>90929.208398485542</v>
      </c>
      <c r="U12" s="1">
        <f>VLOOKUP($A12,'OPEX - PAN'!$A$3:$K$23,11,FALSE)</f>
        <v>4888683.6772999996</v>
      </c>
      <c r="V12" s="1">
        <f>VLOOKUP($A12,'RECEITAS - PAN'!$A$3:$K$23,11,FALSE)</f>
        <v>1903424.8081</v>
      </c>
      <c r="W12" s="1">
        <f t="shared" si="3"/>
        <v>-3076188.0775984852</v>
      </c>
      <c r="X12" s="1">
        <f>VLOOKUP($A12,'CAPEX - PAN'!$A$3:$L$21,12,FALSE)</f>
        <v>219299.4</v>
      </c>
      <c r="Y12" s="1">
        <f>VLOOKUP($A12,'OPEX - PAN'!$A$3:$L$23,12,FALSE)</f>
        <v>4894839.5173000004</v>
      </c>
      <c r="Z12" s="1">
        <f>VLOOKUP($A12,'RECEITAS - PAN'!$A$3:$L$23,12,FALSE)</f>
        <v>1980372.8075000001</v>
      </c>
      <c r="AA12" s="1">
        <f t="shared" si="4"/>
        <v>-3133766.1098000002</v>
      </c>
      <c r="AB12" s="1">
        <f>VLOOKUP($A12,'CAPEX - PAN'!$A$3:$M$21,13,FALSE)</f>
        <v>90929.208398485542</v>
      </c>
      <c r="AC12" s="1">
        <f>VLOOKUP($A12,'OPEX - PAN'!$A$3:$M$23,13,FALSE)</f>
        <v>4900761.2790999999</v>
      </c>
      <c r="AD12" s="1">
        <f>VLOOKUP($A12,'RECEITAS - PAN'!$A$3:$M$23,13,FALSE)</f>
        <v>2054394.8307</v>
      </c>
      <c r="AE12" s="1">
        <f t="shared" si="5"/>
        <v>-2937295.6567984857</v>
      </c>
      <c r="AF12" s="1">
        <f>VLOOKUP($A12,'CAPEX - PAN'!$A$3:$N$21,14,FALSE)</f>
        <v>0</v>
      </c>
      <c r="AG12" s="1">
        <f>VLOOKUP($A12,'OPEX - PAN'!$A$3:$N$23,14,FALSE)</f>
        <v>4906302.2880999995</v>
      </c>
      <c r="AH12" s="1">
        <f>VLOOKUP($A12,'RECEITAS - PAN'!$A$3:$N$23,14,FALSE)</f>
        <v>2123657.4424000001</v>
      </c>
      <c r="AI12" s="1">
        <f t="shared" si="6"/>
        <v>-2782644.8456999995</v>
      </c>
      <c r="AJ12" s="1">
        <f>VLOOKUP($A12,'CAPEX - PAN'!$A$3:$O$21,15,FALSE)</f>
        <v>310228.60839848552</v>
      </c>
      <c r="AK12" s="1">
        <f>VLOOKUP($A12,'OPEX - PAN'!$A$3:$O$23,15,FALSE)</f>
        <v>4911455.4759</v>
      </c>
      <c r="AL12" s="1">
        <f>VLOOKUP($A12,'RECEITAS - PAN'!$A$3:$O$23,15,FALSE)</f>
        <v>2188072.2906999998</v>
      </c>
      <c r="AM12" s="1">
        <f t="shared" si="7"/>
        <v>-3033611.7935984856</v>
      </c>
      <c r="AN12" s="1">
        <f>VLOOKUP($A12,'CAPEX - PAN'!$A$3:$P$21,16,FALSE)</f>
        <v>0</v>
      </c>
      <c r="AO12" s="1">
        <f>VLOOKUP($A12,'OPEX - PAN'!$A$3:$P$23,16,FALSE)</f>
        <v>4916301.8108999999</v>
      </c>
      <c r="AP12" s="1">
        <f>VLOOKUP($A12,'RECEITAS - PAN'!$A$3:$P$23,16,FALSE)</f>
        <v>2248651.4780000001</v>
      </c>
      <c r="AQ12" s="1">
        <f t="shared" si="8"/>
        <v>-2667650.3328999998</v>
      </c>
      <c r="AR12" s="1">
        <f>VLOOKUP($A12,'CAPEX - PAN'!$A$3:$Q$21,17,FALSE)</f>
        <v>13300789.148398487</v>
      </c>
      <c r="AS12" s="1">
        <f>VLOOKUP($A12,'OPEX - PAN'!$A$3:$Q$23,17,FALSE)</f>
        <v>4921121.0488999998</v>
      </c>
      <c r="AT12" s="1">
        <f>VLOOKUP($A12,'RECEITAS - PAN'!$A$3:$Q$23,17,FALSE)</f>
        <v>2308891.9528000001</v>
      </c>
      <c r="AU12" s="1">
        <f t="shared" si="9"/>
        <v>-15913018.244498488</v>
      </c>
      <c r="AV12" s="1">
        <f>VLOOKUP($A12,'CAPEX - PAN'!$A$3:$R$21,18,FALSE)</f>
        <v>0</v>
      </c>
      <c r="AW12" s="1">
        <f>VLOOKUP($A12,'OPEX - PAN'!$A$3:$R$23,18,FALSE)</f>
        <v>4925940.4009999996</v>
      </c>
      <c r="AX12" s="1">
        <f>VLOOKUP($A12,'RECEITAS - PAN'!$A$3:$R$23,18,FALSE)</f>
        <v>2369133.8533999999</v>
      </c>
      <c r="AY12" s="1">
        <f t="shared" si="10"/>
        <v>-2556806.5475999997</v>
      </c>
      <c r="AZ12" s="1">
        <f>VLOOKUP($A12,'CAPEX - PAN'!$A$3:$S$21,19,FALSE)</f>
        <v>90929.208398485542</v>
      </c>
      <c r="BA12" s="1">
        <f>VLOOKUP($A12,'OPEX - PAN'!$A$3:$S$23,19,FALSE)</f>
        <v>4930877.4238</v>
      </c>
      <c r="BB12" s="1">
        <f>VLOOKUP($A12,'RECEITAS - PAN'!$A$3:$S$23,19,FALSE)</f>
        <v>2430846.6387999998</v>
      </c>
      <c r="BC12" s="1">
        <f t="shared" si="11"/>
        <v>-2590959.9933984857</v>
      </c>
      <c r="BD12" s="1">
        <f>VLOOKUP($A12,'CAPEX - PAN'!$A$3:$T$21,20,FALSE)</f>
        <v>0</v>
      </c>
      <c r="BE12" s="1">
        <f>VLOOKUP($A12,'OPEX - PAN'!$A$3:$T$23,20,FALSE)</f>
        <v>4935742.7515000002</v>
      </c>
      <c r="BF12" s="1">
        <f>VLOOKUP($A12,'RECEITAS - PAN'!$A$3:$T$23,20,FALSE)</f>
        <v>2491663.2351000002</v>
      </c>
      <c r="BG12" s="1">
        <f t="shared" si="12"/>
        <v>-2444079.5164000001</v>
      </c>
      <c r="BH12" s="1">
        <f>VLOOKUP($A12,'CAPEX - PAN'!$A$3:$U$21,21,FALSE)</f>
        <v>90929.208398485542</v>
      </c>
      <c r="BI12" s="1">
        <f>VLOOKUP($A12,'OPEX - PAN'!$A$3:$U$23,21,FALSE)</f>
        <v>4940721.9331999999</v>
      </c>
      <c r="BJ12" s="1">
        <f>VLOOKUP($A12,'RECEITAS - PAN'!$A$3:$U$23,21,FALSE)</f>
        <v>2553903.0063999998</v>
      </c>
      <c r="BK12" s="1">
        <f t="shared" si="13"/>
        <v>-2477748.1351984856</v>
      </c>
      <c r="BL12" s="1">
        <f>VLOOKUP($A12,'CAPEX - PAN'!$A$3:$V$21,22,FALSE)</f>
        <v>6026773.2699999996</v>
      </c>
      <c r="BM12" s="1">
        <f>VLOOKUP($A12,'OPEX - PAN'!$A$3:$V$23,22,FALSE)</f>
        <v>4945693.0387000004</v>
      </c>
      <c r="BN12" s="1">
        <f>VLOOKUP($A12,'RECEITAS - PAN'!$A$3:$V$23,22,FALSE)</f>
        <v>2616041.8247000002</v>
      </c>
      <c r="BO12" s="1">
        <f t="shared" si="14"/>
        <v>-8356424.4839999992</v>
      </c>
      <c r="BP12" s="1">
        <f>VLOOKUP($A12,'CAPEX - PAN'!$A$3:$W$21,23,FALSE)</f>
        <v>90929.208398485542</v>
      </c>
      <c r="BQ12" s="1">
        <f>VLOOKUP($A12,'OPEX - PAN'!$A$3:$W$23,23,FALSE)</f>
        <v>4950814.4204000002</v>
      </c>
      <c r="BR12" s="1">
        <f>VLOOKUP($A12,'RECEITAS - PAN'!$A$3:$W$23,23,FALSE)</f>
        <v>2680059.0962</v>
      </c>
      <c r="BS12" s="1">
        <f t="shared" si="15"/>
        <v>-2361684.5325984857</v>
      </c>
      <c r="BT12" s="1">
        <f>VLOOKUP($A12,'CAPEX - PAN'!$A$3:$X$21,24,FALSE)</f>
        <v>0</v>
      </c>
      <c r="BU12" s="1">
        <f>VLOOKUP($A12,'OPEX - PAN'!$A$3:$X$23,24,FALSE)</f>
        <v>4956044.5176999997</v>
      </c>
      <c r="BV12" s="1">
        <f>VLOOKUP($A12,'RECEITAS - PAN'!$A$3:$X$23,24,FALSE)</f>
        <v>2745435.3119999999</v>
      </c>
      <c r="BW12" s="1">
        <f t="shared" si="16"/>
        <v>-2210609.2056999998</v>
      </c>
      <c r="BX12" s="1">
        <f>VLOOKUP($A12,'CAPEX - PAN'!$A$3:$Y$21,25,FALSE)</f>
        <v>310228.60839848552</v>
      </c>
      <c r="BY12" s="1">
        <f>VLOOKUP($A12,'OPEX - PAN'!$A$3:$Y$23,25,FALSE)</f>
        <v>4961330.9642000003</v>
      </c>
      <c r="BZ12" s="1">
        <f>VLOOKUP($A12,'RECEITAS - PAN'!$A$3:$Y$23,25,FALSE)</f>
        <v>2811515.8934999998</v>
      </c>
      <c r="CA12" s="1">
        <f t="shared" si="17"/>
        <v>-2460043.679098486</v>
      </c>
      <c r="CB12" s="1">
        <f>VLOOKUP($A12,'CAPEX - PAN'!$A$3:$Z$21,26,FALSE)</f>
        <v>0</v>
      </c>
      <c r="CC12" s="1">
        <f>VLOOKUP($A12,'OPEX - PAN'!$A$3:$Z$23,26,FALSE)</f>
        <v>4966503.9720999999</v>
      </c>
      <c r="CD12" s="1">
        <f>VLOOKUP($A12,'RECEITAS - PAN'!$A$3:$Z$23,26,FALSE)</f>
        <v>2876178.4931000001</v>
      </c>
      <c r="CE12" s="1">
        <f t="shared" si="18"/>
        <v>-2090325.4789999998</v>
      </c>
      <c r="CF12" s="1">
        <f>VLOOKUP($A12,'CAPEX - PAN'!$A$3:$AA$21,27,FALSE)</f>
        <v>13300789.148398487</v>
      </c>
      <c r="CG12" s="1">
        <f>VLOOKUP($A12,'OPEX - PAN'!$A$3:$AA$23,27,FALSE)</f>
        <v>4971732.8964999998</v>
      </c>
      <c r="CH12" s="1">
        <f>VLOOKUP($A12,'RECEITAS - PAN'!$A$3:$AA$23,27,FALSE)</f>
        <v>2941540.0482999999</v>
      </c>
      <c r="CI12" s="1">
        <f t="shared" si="19"/>
        <v>-15330981.996598486</v>
      </c>
      <c r="CJ12" s="1">
        <f>VLOOKUP($A12,'CAPEX - PAN'!$A$3:$AB$21,28,FALSE)</f>
        <v>0</v>
      </c>
      <c r="CK12" s="1">
        <f>VLOOKUP($A12,'OPEX - PAN'!$A$3:$AB$23,28,FALSE)</f>
        <v>4976954.1501000002</v>
      </c>
      <c r="CL12" s="1">
        <f>VLOOKUP($A12,'RECEITAS - PAN'!$A$3:$AB$23,28,FALSE)</f>
        <v>3006805.7171999998</v>
      </c>
      <c r="CM12" s="1">
        <f t="shared" si="20"/>
        <v>-1970148.4329000004</v>
      </c>
      <c r="CN12" s="1">
        <f>VLOOKUP($A12,'CAPEX - PAN'!$A$3:$AC$21,29,FALSE)</f>
        <v>90929.208398485542</v>
      </c>
      <c r="CO12" s="1">
        <f>VLOOKUP($A12,'OPEX - PAN'!$A$3:$AC$23,29,FALSE)</f>
        <v>4981783.3288000003</v>
      </c>
      <c r="CP12" s="1">
        <f>VLOOKUP($A12,'RECEITAS - PAN'!$A$3:$AC$23,29,FALSE)</f>
        <v>3067170.4517999999</v>
      </c>
      <c r="CQ12" s="1">
        <f t="shared" si="21"/>
        <v>-2005542.0853984859</v>
      </c>
      <c r="CR12" s="1">
        <f>VLOOKUP($A12,'CAPEX - PAN'!$A$3:$AD$21,30,FALSE)</f>
        <v>0</v>
      </c>
      <c r="CS12" s="1">
        <f>VLOOKUP($A12,'OPEX - PAN'!$A$3:$AD$23,30,FALSE)</f>
        <v>4986405.4051999999</v>
      </c>
      <c r="CT12" s="1">
        <f>VLOOKUP($A12,'RECEITAS - PAN'!$A$3:$AD$23,30,FALSE)</f>
        <v>3124946.4065999999</v>
      </c>
      <c r="CU12" s="1">
        <f t="shared" si="22"/>
        <v>-1861458.9986</v>
      </c>
      <c r="CV12" s="1">
        <f>VLOOKUP($A12,'CAPEX - PAN'!$A$3:$AE$21,31,FALSE)</f>
        <v>90929.208398485542</v>
      </c>
      <c r="CW12" s="1">
        <f>VLOOKUP($A12,'OPEX - PAN'!$A$3:$AE$23,31,FALSE)</f>
        <v>4990994.1946</v>
      </c>
      <c r="CX12" s="1">
        <f>VLOOKUP($A12,'RECEITAS - PAN'!$A$3:$AE$23,31,FALSE)</f>
        <v>3182306.2736999998</v>
      </c>
      <c r="CY12" s="1">
        <f t="shared" si="23"/>
        <v>-1899617.1292984858</v>
      </c>
      <c r="CZ12" s="1">
        <f>VLOOKUP($A12,'CAPEX - PAN'!$A$3:$AF$21,32,FALSE)</f>
        <v>219299.4</v>
      </c>
      <c r="DA12" s="1">
        <f>VLOOKUP($A12,'OPEX - PAN'!$A$3:$AF$23,32,FALSE)</f>
        <v>4995380.3998999996</v>
      </c>
      <c r="DB12" s="1">
        <f>VLOOKUP($A12,'RECEITAS - PAN'!$A$3:$AF$23,32,FALSE)</f>
        <v>3237133.8402</v>
      </c>
      <c r="DC12" s="1">
        <f t="shared" si="24"/>
        <v>-1977545.9596999995</v>
      </c>
      <c r="DD12" s="1">
        <f>VLOOKUP($A12,'CAPEX - PAN'!$A$3:$AG$21,33,FALSE)</f>
        <v>90929.208398485542</v>
      </c>
      <c r="DE12" s="1">
        <f>VLOOKUP($A12,'OPEX - PAN'!$A$3:$AG$23,33,FALSE)</f>
        <v>4999809.3668</v>
      </c>
      <c r="DF12" s="1">
        <f>VLOOKUP($A12,'RECEITAS - PAN'!$A$3:$AG$23,33,FALSE)</f>
        <v>3292495.9268999998</v>
      </c>
      <c r="DG12" s="1">
        <f t="shared" si="25"/>
        <v>-1798242.6482984857</v>
      </c>
      <c r="DH12" s="1">
        <f>VLOOKUP($A12,'CAPEX - PAN'!$A$3:$AH$21,34,FALSE)</f>
        <v>0</v>
      </c>
      <c r="DI12" s="1">
        <f>VLOOKUP($A12,'OPEX - PAN'!$A$3:$AH$23,34,FALSE)</f>
        <v>5004305.9768000003</v>
      </c>
      <c r="DJ12" s="1">
        <f>VLOOKUP($A12,'RECEITAS - PAN'!$A$3:$AH$23,34,FALSE)</f>
        <v>3348703.5509000001</v>
      </c>
      <c r="DK12" s="1">
        <f t="shared" si="26"/>
        <v>-1655602.4259000001</v>
      </c>
      <c r="DL12" s="1">
        <f>VLOOKUP($A12,'CAPEX - PAN'!$A$3:$AI$21,35,FALSE)</f>
        <v>310228.60839848552</v>
      </c>
      <c r="DM12" s="1">
        <f>VLOOKUP($A12,'OPEX - PAN'!$A$3:$AI$23,35,FALSE)</f>
        <v>5008897.4407000002</v>
      </c>
      <c r="DN12" s="1">
        <f>VLOOKUP($A12,'RECEITAS - PAN'!$A$3:$AI$23,35,FALSE)</f>
        <v>3406096.8506</v>
      </c>
      <c r="DO12" s="1">
        <f t="shared" si="27"/>
        <v>-1913029.1984984856</v>
      </c>
      <c r="DP12" s="1">
        <f>VLOOKUP($A12,'CAPEX - PAN'!$A$3:$AJ$21,36,FALSE)</f>
        <v>0</v>
      </c>
      <c r="DQ12" s="1">
        <f>VLOOKUP($A12,'OPEX - PAN'!$A$3:$AJ$23,36,FALSE)</f>
        <v>5016885.4640904767</v>
      </c>
      <c r="DR12" s="1">
        <f>VLOOKUP($A12,'RECEITAS - PAN'!$A$3:$AJ$23,36,FALSE)</f>
        <v>3505947.1425873041</v>
      </c>
      <c r="DS12" s="1">
        <f t="shared" si="28"/>
        <v>-1510938.3215031726</v>
      </c>
      <c r="DT12" s="1">
        <f>VLOOKUP($A12,'CAPEX - PAN'!$A$3:$AK$21,37,FALSE)</f>
        <v>90929.208398485542</v>
      </c>
      <c r="DU12" s="1">
        <f>VLOOKUP($A12,'OPEX - PAN'!$A$3:$AK$23,37,FALSE)</f>
        <v>5021498.5782073699</v>
      </c>
      <c r="DV12" s="1">
        <f>VLOOKUP($A12,'RECEITAS - PAN'!$A$3:$AK$23,37,FALSE)</f>
        <v>3563611.0690394491</v>
      </c>
      <c r="DW12" s="1">
        <f t="shared" si="29"/>
        <v>-1548816.7175664064</v>
      </c>
      <c r="DX12" s="12">
        <f t="shared" si="30"/>
        <v>49864928.275977269</v>
      </c>
      <c r="DY12" s="12">
        <f t="shared" si="31"/>
        <v>148432295.07319787</v>
      </c>
      <c r="DZ12" s="12">
        <f t="shared" si="32"/>
        <v>76654526.949226752</v>
      </c>
      <c r="EA12" s="12">
        <f t="shared" si="33"/>
        <v>-121642696.39994839</v>
      </c>
      <c r="EB12" s="3">
        <f>VLOOKUP(A12,'CAPEX - PAN'!$A$3:$AN$21,40,FALSE)</f>
        <v>2</v>
      </c>
      <c r="EC12" s="3">
        <f>VLOOKUP(A12,'BASE PAN - CAPEX'!$A$3:$H$22,8,FALSE)</f>
        <v>3</v>
      </c>
      <c r="ED12" s="63">
        <f t="shared" si="34"/>
        <v>-79048109.589289412</v>
      </c>
    </row>
    <row r="13" spans="1:134" x14ac:dyDescent="0.25">
      <c r="A13" t="s">
        <v>76</v>
      </c>
      <c r="B13" t="s">
        <v>100</v>
      </c>
      <c r="C13">
        <v>170210</v>
      </c>
      <c r="D13" t="s">
        <v>78</v>
      </c>
      <c r="E13" t="s">
        <v>77</v>
      </c>
      <c r="F13" t="s">
        <v>27</v>
      </c>
      <c r="G13" t="s">
        <v>28</v>
      </c>
      <c r="H13" s="1">
        <f>VLOOKUP($A13,'CAPEX - PAN'!$A$3:$H$23,8,FALSE)</f>
        <v>8418666.6666666679</v>
      </c>
      <c r="I13" s="1">
        <f>VLOOKUP($A13,'OPEX - PAN'!$A$3:$H$23,8,FALSE)</f>
        <v>4953879.3809000002</v>
      </c>
      <c r="J13" s="1">
        <f>VLOOKUP($A13,'RECEITAS - PAN'!$A$3:$H$23,8,FALSE)</f>
        <v>573561.69330000004</v>
      </c>
      <c r="K13" s="1">
        <f t="shared" si="0"/>
        <v>-12798984.354266668</v>
      </c>
      <c r="L13" s="1">
        <f>VLOOKUP($A13,'CAPEX - PAN'!$A$3:$I$21,9,FALSE)</f>
        <v>8492719.6030478347</v>
      </c>
      <c r="M13" s="1">
        <f>VLOOKUP($A13,'OPEX - PAN'!$A$3:$I$23,9,FALSE)</f>
        <v>4959561.5581</v>
      </c>
      <c r="N13" s="1">
        <f>VLOOKUP($A13,'RECEITAS - PAN'!$A$3:$I$23,9,FALSE)</f>
        <v>609075.30094999995</v>
      </c>
      <c r="O13" s="1">
        <f t="shared" si="35"/>
        <v>-12843205.860197835</v>
      </c>
      <c r="P13" s="1">
        <f>VLOOKUP($A13,'CAPEX - PAN'!$A$3:$J$21,10,FALSE)</f>
        <v>8418666.6666666679</v>
      </c>
      <c r="Q13" s="1">
        <f>VLOOKUP($A13,'OPEX - PAN'!$A$3:$J$23,10,FALSE)</f>
        <v>4964005.0592999998</v>
      </c>
      <c r="R13" s="1">
        <f>VLOOKUP($A13,'RECEITAS - PAN'!$A$3:$J$23,10,FALSE)</f>
        <v>636847.18334999995</v>
      </c>
      <c r="S13" s="1">
        <f t="shared" si="2"/>
        <v>-12745824.542616669</v>
      </c>
      <c r="T13" s="1">
        <f>VLOOKUP($A13,'CAPEX - PAN'!$A$3:$K$21,11,FALSE)</f>
        <v>74052.93638116763</v>
      </c>
      <c r="U13" s="1">
        <f>VLOOKUP($A13,'OPEX - PAN'!$A$3:$K$23,11,FALSE)</f>
        <v>4967863.3534000004</v>
      </c>
      <c r="V13" s="1">
        <f>VLOOKUP($A13,'RECEITAS - PAN'!$A$3:$K$23,11,FALSE)</f>
        <v>1321923.0427999999</v>
      </c>
      <c r="W13" s="1">
        <f t="shared" si="3"/>
        <v>-3719993.2469811682</v>
      </c>
      <c r="X13" s="1">
        <f>VLOOKUP($A13,'CAPEX - PAN'!$A$3:$L$21,12,FALSE)</f>
        <v>209849.61000000002</v>
      </c>
      <c r="Y13" s="1">
        <f>VLOOKUP($A13,'OPEX - PAN'!$A$3:$L$23,12,FALSE)</f>
        <v>4971416.0357999997</v>
      </c>
      <c r="Z13" s="1">
        <f>VLOOKUP($A13,'RECEITAS - PAN'!$A$3:$L$23,12,FALSE)</f>
        <v>1366331.5730999999</v>
      </c>
      <c r="AA13" s="1">
        <f t="shared" si="4"/>
        <v>-3814934.0726999999</v>
      </c>
      <c r="AB13" s="1">
        <f>VLOOKUP($A13,'CAPEX - PAN'!$A$3:$M$21,13,FALSE)</f>
        <v>74052.93638116763</v>
      </c>
      <c r="AC13" s="1">
        <f>VLOOKUP($A13,'OPEX - PAN'!$A$3:$M$23,13,FALSE)</f>
        <v>4974751.9132000003</v>
      </c>
      <c r="AD13" s="1">
        <f>VLOOKUP($A13,'RECEITAS - PAN'!$A$3:$M$23,13,FALSE)</f>
        <v>1408030.0412000001</v>
      </c>
      <c r="AE13" s="1">
        <f t="shared" si="5"/>
        <v>-3640774.8083811682</v>
      </c>
      <c r="AF13" s="1">
        <f>VLOOKUP($A13,'CAPEX - PAN'!$A$3:$N$21,14,FALSE)</f>
        <v>0</v>
      </c>
      <c r="AG13" s="1">
        <f>VLOOKUP($A13,'OPEX - PAN'!$A$3:$N$23,14,FALSE)</f>
        <v>4977819.0475000003</v>
      </c>
      <c r="AH13" s="1">
        <f>VLOOKUP($A13,'RECEITAS - PAN'!$A$3:$N$23,14,FALSE)</f>
        <v>1446369.2196</v>
      </c>
      <c r="AI13" s="1">
        <f t="shared" si="6"/>
        <v>-3531449.8279000004</v>
      </c>
      <c r="AJ13" s="1">
        <f>VLOOKUP($A13,'CAPEX - PAN'!$A$3:$O$21,15,FALSE)</f>
        <v>283902.54638116766</v>
      </c>
      <c r="AK13" s="1">
        <f>VLOOKUP($A13,'OPEX - PAN'!$A$3:$O$23,15,FALSE)</f>
        <v>4980556.7116</v>
      </c>
      <c r="AL13" s="1">
        <f>VLOOKUP($A13,'RECEITAS - PAN'!$A$3:$O$23,15,FALSE)</f>
        <v>1480590.0211</v>
      </c>
      <c r="AM13" s="1">
        <f t="shared" si="7"/>
        <v>-3783869.2368811676</v>
      </c>
      <c r="AN13" s="1">
        <f>VLOOKUP($A13,'CAPEX - PAN'!$A$3:$P$21,16,FALSE)</f>
        <v>0</v>
      </c>
      <c r="AO13" s="1">
        <f>VLOOKUP($A13,'OPEX - PAN'!$A$3:$P$23,16,FALSE)</f>
        <v>4983073.8015000001</v>
      </c>
      <c r="AP13" s="1">
        <f>VLOOKUP($A13,'RECEITAS - PAN'!$A$3:$P$23,16,FALSE)</f>
        <v>1512053.6440000001</v>
      </c>
      <c r="AQ13" s="1">
        <f t="shared" si="8"/>
        <v>-3471020.1574999997</v>
      </c>
      <c r="AR13" s="1">
        <f>VLOOKUP($A13,'CAPEX - PAN'!$A$3:$Q$21,17,FALSE)</f>
        <v>10434355.616381165</v>
      </c>
      <c r="AS13" s="1">
        <f>VLOOKUP($A13,'OPEX - PAN'!$A$3:$Q$23,17,FALSE)</f>
        <v>4985565.7751000002</v>
      </c>
      <c r="AT13" s="1">
        <f>VLOOKUP($A13,'RECEITAS - PAN'!$A$3:$Q$23,17,FALSE)</f>
        <v>1543203.3145999999</v>
      </c>
      <c r="AU13" s="1">
        <f t="shared" si="9"/>
        <v>-13876718.076881165</v>
      </c>
      <c r="AV13" s="1">
        <f>VLOOKUP($A13,'CAPEX - PAN'!$A$3:$R$21,18,FALSE)</f>
        <v>0</v>
      </c>
      <c r="AW13" s="1">
        <f>VLOOKUP($A13,'OPEX - PAN'!$A$3:$R$23,18,FALSE)</f>
        <v>4988017.5629000003</v>
      </c>
      <c r="AX13" s="1">
        <f>VLOOKUP($A13,'RECEITAS - PAN'!$A$3:$R$23,18,FALSE)</f>
        <v>1573850.6614999999</v>
      </c>
      <c r="AY13" s="1">
        <f t="shared" si="10"/>
        <v>-3414166.9014000003</v>
      </c>
      <c r="AZ13" s="1">
        <f>VLOOKUP($A13,'CAPEX - PAN'!$A$3:$S$21,19,FALSE)</f>
        <v>74052.93638116763</v>
      </c>
      <c r="BA13" s="1">
        <f>VLOOKUP($A13,'OPEX - PAN'!$A$3:$S$23,19,FALSE)</f>
        <v>4990536.7161999997</v>
      </c>
      <c r="BB13" s="1">
        <f>VLOOKUP($A13,'RECEITAS - PAN'!$A$3:$S$23,19,FALSE)</f>
        <v>1605340.0778999999</v>
      </c>
      <c r="BC13" s="1">
        <f t="shared" si="11"/>
        <v>-3459249.5746811675</v>
      </c>
      <c r="BD13" s="1">
        <f>VLOOKUP($A13,'CAPEX - PAN'!$A$3:$T$21,20,FALSE)</f>
        <v>0</v>
      </c>
      <c r="BE13" s="1">
        <f>VLOOKUP($A13,'OPEX - PAN'!$A$3:$T$23,20,FALSE)</f>
        <v>4992973.4342</v>
      </c>
      <c r="BF13" s="1">
        <f>VLOOKUP($A13,'RECEITAS - PAN'!$A$3:$T$23,20,FALSE)</f>
        <v>1635799.0534000001</v>
      </c>
      <c r="BG13" s="1">
        <f t="shared" si="12"/>
        <v>-3357174.3807999999</v>
      </c>
      <c r="BH13" s="1">
        <f>VLOOKUP($A13,'CAPEX - PAN'!$A$3:$U$21,21,FALSE)</f>
        <v>74052.93638116763</v>
      </c>
      <c r="BI13" s="1">
        <f>VLOOKUP($A13,'OPEX - PAN'!$A$3:$U$23,21,FALSE)</f>
        <v>4995450.3381000003</v>
      </c>
      <c r="BJ13" s="1">
        <f>VLOOKUP($A13,'RECEITAS - PAN'!$A$3:$U$23,21,FALSE)</f>
        <v>1666760.3526000001</v>
      </c>
      <c r="BK13" s="1">
        <f t="shared" si="13"/>
        <v>-3402742.9218811681</v>
      </c>
      <c r="BL13" s="1">
        <f>VLOOKUP($A13,'CAPEX - PAN'!$A$3:$V$21,22,FALSE)</f>
        <v>7394235.2199999997</v>
      </c>
      <c r="BM13" s="1">
        <f>VLOOKUP($A13,'OPEX - PAN'!$A$3:$V$23,22,FALSE)</f>
        <v>4997883.0681999996</v>
      </c>
      <c r="BN13" s="1">
        <f>VLOOKUP($A13,'RECEITAS - PAN'!$A$3:$V$23,22,FALSE)</f>
        <v>1697169.4778</v>
      </c>
      <c r="BO13" s="1">
        <f t="shared" si="14"/>
        <v>-10694948.8104</v>
      </c>
      <c r="BP13" s="1">
        <f>VLOOKUP($A13,'CAPEX - PAN'!$A$3:$W$21,23,FALSE)</f>
        <v>74052.93638116763</v>
      </c>
      <c r="BQ13" s="1">
        <f>VLOOKUP($A13,'OPEX - PAN'!$A$3:$W$23,23,FALSE)</f>
        <v>5000408.8704000004</v>
      </c>
      <c r="BR13" s="1">
        <f>VLOOKUP($A13,'RECEITAS - PAN'!$A$3:$W$23,23,FALSE)</f>
        <v>1728742.0053000001</v>
      </c>
      <c r="BS13" s="1">
        <f t="shared" si="15"/>
        <v>-3345719.8014811678</v>
      </c>
      <c r="BT13" s="1">
        <f>VLOOKUP($A13,'CAPEX - PAN'!$A$3:$X$21,24,FALSE)</f>
        <v>0</v>
      </c>
      <c r="BU13" s="1">
        <f>VLOOKUP($A13,'OPEX - PAN'!$A$3:$X$23,24,FALSE)</f>
        <v>5002938.5182999996</v>
      </c>
      <c r="BV13" s="1">
        <f>VLOOKUP($A13,'RECEITAS - PAN'!$A$3:$X$23,24,FALSE)</f>
        <v>1760362.6043</v>
      </c>
      <c r="BW13" s="1">
        <f t="shared" si="16"/>
        <v>-3242575.9139999999</v>
      </c>
      <c r="BX13" s="1">
        <f>VLOOKUP($A13,'CAPEX - PAN'!$A$3:$Y$21,25,FALSE)</f>
        <v>283902.54638116766</v>
      </c>
      <c r="BY13" s="1">
        <f>VLOOKUP($A13,'OPEX - PAN'!$A$3:$Y$23,25,FALSE)</f>
        <v>5005515.4387999997</v>
      </c>
      <c r="BZ13" s="1">
        <f>VLOOKUP($A13,'RECEITAS - PAN'!$A$3:$Y$23,25,FALSE)</f>
        <v>1792574.111</v>
      </c>
      <c r="CA13" s="1">
        <f t="shared" si="17"/>
        <v>-3496843.8741811672</v>
      </c>
      <c r="CB13" s="1">
        <f>VLOOKUP($A13,'CAPEX - PAN'!$A$3:$Z$21,26,FALSE)</f>
        <v>0</v>
      </c>
      <c r="CC13" s="1">
        <f>VLOOKUP($A13,'OPEX - PAN'!$A$3:$Z$23,26,FALSE)</f>
        <v>5007974.7614000002</v>
      </c>
      <c r="CD13" s="1">
        <f>VLOOKUP($A13,'RECEITAS - PAN'!$A$3:$Z$23,26,FALSE)</f>
        <v>1823315.6436000001</v>
      </c>
      <c r="CE13" s="1">
        <f t="shared" si="18"/>
        <v>-3184659.1178000001</v>
      </c>
      <c r="CF13" s="1">
        <f>VLOOKUP($A13,'CAPEX - PAN'!$A$3:$AA$21,27,FALSE)</f>
        <v>10434355.616381165</v>
      </c>
      <c r="CG13" s="1">
        <f>VLOOKUP($A13,'OPEX - PAN'!$A$3:$AA$23,27,FALSE)</f>
        <v>5010496.1968999999</v>
      </c>
      <c r="CH13" s="1">
        <f>VLOOKUP($A13,'RECEITAS - PAN'!$A$3:$AA$23,27,FALSE)</f>
        <v>1854833.5874000001</v>
      </c>
      <c r="CI13" s="1">
        <f t="shared" si="19"/>
        <v>-13590018.225881165</v>
      </c>
      <c r="CJ13" s="1">
        <f>VLOOKUP($A13,'CAPEX - PAN'!$A$3:$AB$21,28,FALSE)</f>
        <v>0</v>
      </c>
      <c r="CK13" s="1">
        <f>VLOOKUP($A13,'OPEX - PAN'!$A$3:$AB$23,28,FALSE)</f>
        <v>5012937.9381999997</v>
      </c>
      <c r="CL13" s="1">
        <f>VLOOKUP($A13,'RECEITAS - PAN'!$A$3:$AB$23,28,FALSE)</f>
        <v>1885355.3533999999</v>
      </c>
      <c r="CM13" s="1">
        <f t="shared" si="20"/>
        <v>-3127582.5847999998</v>
      </c>
      <c r="CN13" s="1">
        <f>VLOOKUP($A13,'CAPEX - PAN'!$A$3:$AC$21,29,FALSE)</f>
        <v>74052.93638116763</v>
      </c>
      <c r="CO13" s="1">
        <f>VLOOKUP($A13,'OPEX - PAN'!$A$3:$AC$23,29,FALSE)</f>
        <v>5015251.1387999998</v>
      </c>
      <c r="CP13" s="1">
        <f>VLOOKUP($A13,'RECEITAS - PAN'!$A$3:$AC$23,29,FALSE)</f>
        <v>1914270.3609</v>
      </c>
      <c r="CQ13" s="1">
        <f t="shared" si="21"/>
        <v>-3175033.7142811678</v>
      </c>
      <c r="CR13" s="1">
        <f>VLOOKUP($A13,'CAPEX - PAN'!$A$3:$AD$21,30,FALSE)</f>
        <v>0</v>
      </c>
      <c r="CS13" s="1">
        <f>VLOOKUP($A13,'OPEX - PAN'!$A$3:$AD$23,30,FALSE)</f>
        <v>5017476.8809000002</v>
      </c>
      <c r="CT13" s="1">
        <f>VLOOKUP($A13,'RECEITAS - PAN'!$A$3:$AD$23,30,FALSE)</f>
        <v>1942092.1370000001</v>
      </c>
      <c r="CU13" s="1">
        <f t="shared" si="22"/>
        <v>-3075384.7439000001</v>
      </c>
      <c r="CV13" s="1">
        <f>VLOOKUP($A13,'CAPEX - PAN'!$A$3:$AE$21,31,FALSE)</f>
        <v>74052.93638116763</v>
      </c>
      <c r="CW13" s="1">
        <f>VLOOKUP($A13,'OPEX - PAN'!$A$3:$AE$23,31,FALSE)</f>
        <v>5019727.2910000002</v>
      </c>
      <c r="CX13" s="1">
        <f>VLOOKUP($A13,'RECEITAS - PAN'!$A$3:$AE$23,31,FALSE)</f>
        <v>1970222.2637</v>
      </c>
      <c r="CY13" s="1">
        <f t="shared" si="23"/>
        <v>-3123557.9636811679</v>
      </c>
      <c r="CZ13" s="1">
        <f>VLOOKUP($A13,'CAPEX - PAN'!$A$3:$AF$21,32,FALSE)</f>
        <v>209849.61000000002</v>
      </c>
      <c r="DA13" s="1">
        <f>VLOOKUP($A13,'OPEX - PAN'!$A$3:$AF$23,32,FALSE)</f>
        <v>5021834.9870999996</v>
      </c>
      <c r="DB13" s="1">
        <f>VLOOKUP($A13,'RECEITAS - PAN'!$A$3:$AF$23,32,FALSE)</f>
        <v>1996568.4639999999</v>
      </c>
      <c r="DC13" s="1">
        <f t="shared" si="24"/>
        <v>-3235116.1330999997</v>
      </c>
      <c r="DD13" s="1">
        <f>VLOOKUP($A13,'CAPEX - PAN'!$A$3:$AG$21,33,FALSE)</f>
        <v>74052.93638116763</v>
      </c>
      <c r="DE13" s="1">
        <f>VLOOKUP($A13,'OPEX - PAN'!$A$3:$AG$23,33,FALSE)</f>
        <v>5023897.4738999996</v>
      </c>
      <c r="DF13" s="1">
        <f>VLOOKUP($A13,'RECEITAS - PAN'!$A$3:$AG$23,33,FALSE)</f>
        <v>2022349.5501999999</v>
      </c>
      <c r="DG13" s="1">
        <f t="shared" si="25"/>
        <v>-3075600.8600811674</v>
      </c>
      <c r="DH13" s="1">
        <f>VLOOKUP($A13,'CAPEX - PAN'!$A$3:$AH$21,34,FALSE)</f>
        <v>0</v>
      </c>
      <c r="DI13" s="1">
        <f>VLOOKUP($A13,'OPEX - PAN'!$A$3:$AH$23,34,FALSE)</f>
        <v>5025986.1122000003</v>
      </c>
      <c r="DJ13" s="1">
        <f>VLOOKUP($A13,'RECEITAS - PAN'!$A$3:$AH$23,34,FALSE)</f>
        <v>2048457.5288</v>
      </c>
      <c r="DK13" s="1">
        <f t="shared" si="26"/>
        <v>-2977528.5834000004</v>
      </c>
      <c r="DL13" s="1">
        <f>VLOOKUP($A13,'CAPEX - PAN'!$A$3:$AI$21,35,FALSE)</f>
        <v>283902.54638116766</v>
      </c>
      <c r="DM13" s="1">
        <f>VLOOKUP($A13,'OPEX - PAN'!$A$3:$AI$23,35,FALSE)</f>
        <v>5028113.9012000002</v>
      </c>
      <c r="DN13" s="1">
        <f>VLOOKUP($A13,'RECEITAS - PAN'!$A$3:$AI$23,35,FALSE)</f>
        <v>2075054.8909</v>
      </c>
      <c r="DO13" s="1">
        <f t="shared" si="27"/>
        <v>-3236961.5566811678</v>
      </c>
      <c r="DP13" s="1">
        <f>VLOOKUP($A13,'CAPEX - PAN'!$A$3:$AJ$21,36,FALSE)</f>
        <v>0</v>
      </c>
      <c r="DQ13" s="1">
        <f>VLOOKUP($A13,'OPEX - PAN'!$A$3:$AJ$23,36,FALSE)</f>
        <v>5033326.7109190468</v>
      </c>
      <c r="DR13" s="1">
        <f>VLOOKUP($A13,'RECEITAS - PAN'!$A$3:$AJ$23,36,FALSE)</f>
        <v>2140215.0125365108</v>
      </c>
      <c r="DS13" s="1">
        <f t="shared" si="28"/>
        <v>-2893111.6983825359</v>
      </c>
      <c r="DT13" s="1">
        <f>VLOOKUP($A13,'CAPEX - PAN'!$A$3:$AK$21,37,FALSE)</f>
        <v>74052.93638116763</v>
      </c>
      <c r="DU13" s="1">
        <f>VLOOKUP($A13,'OPEX - PAN'!$A$3:$AK$23,37,FALSE)</f>
        <v>5035412.1183828786</v>
      </c>
      <c r="DV13" s="1">
        <f>VLOOKUP($A13,'RECEITAS - PAN'!$A$3:$AK$23,37,FALSE)</f>
        <v>2166282.6058409289</v>
      </c>
      <c r="DW13" s="1">
        <f t="shared" si="29"/>
        <v>-2943182.4489231175</v>
      </c>
      <c r="DX13" s="12">
        <f t="shared" si="30"/>
        <v>55530882.675717525</v>
      </c>
      <c r="DY13" s="12">
        <f t="shared" si="31"/>
        <v>149944652.0944019</v>
      </c>
      <c r="DZ13" s="12">
        <f t="shared" si="32"/>
        <v>49197600.776077442</v>
      </c>
      <c r="EA13" s="12">
        <f t="shared" si="33"/>
        <v>-156277933.99404195</v>
      </c>
      <c r="EB13" s="3">
        <f>VLOOKUP(A13,'CAPEX - PAN'!$A$3:$AN$21,40,FALSE)</f>
        <v>1</v>
      </c>
      <c r="EC13" s="3">
        <f>VLOOKUP(A13,'BASE PAN - CAPEX'!$A$3:$H$22,8,FALSE)</f>
        <v>3</v>
      </c>
      <c r="ED13" s="63">
        <f t="shared" si="34"/>
        <v>-98555056.773468152</v>
      </c>
    </row>
    <row r="14" spans="1:134" x14ac:dyDescent="0.25">
      <c r="A14" t="s">
        <v>80</v>
      </c>
      <c r="B14" t="s">
        <v>101</v>
      </c>
      <c r="C14">
        <v>221060</v>
      </c>
      <c r="D14" t="s">
        <v>82</v>
      </c>
      <c r="E14" t="s">
        <v>83</v>
      </c>
      <c r="F14" t="s">
        <v>33</v>
      </c>
      <c r="G14" t="s">
        <v>28</v>
      </c>
      <c r="H14" s="1">
        <f>VLOOKUP($A14,'CAPEX - PAN'!$A$3:$H$23,8,FALSE)</f>
        <v>9592000</v>
      </c>
      <c r="I14" s="1">
        <f>VLOOKUP($A14,'OPEX - PAN'!$A$3:$H$23,8,FALSE)</f>
        <v>2451818.4890000001</v>
      </c>
      <c r="J14" s="1">
        <f>VLOOKUP($A14,'RECEITAS - PAN'!$A$3:$H$23,8,FALSE)</f>
        <v>407908.05810000002</v>
      </c>
      <c r="K14" s="1">
        <f t="shared" si="0"/>
        <v>-11635910.4309</v>
      </c>
      <c r="L14" s="1">
        <f>VLOOKUP($A14,'CAPEX - PAN'!$A$3:$I$21,9,FALSE)</f>
        <v>9592000</v>
      </c>
      <c r="M14" s="1">
        <f>VLOOKUP($A14,'OPEX - PAN'!$A$3:$I$23,9,FALSE)</f>
        <v>2455741.6605000002</v>
      </c>
      <c r="N14" s="1">
        <f>VLOOKUP($A14,'RECEITAS - PAN'!$A$3:$I$23,9,FALSE)</f>
        <v>430985.53739999997</v>
      </c>
      <c r="O14" s="1">
        <f t="shared" si="35"/>
        <v>-11616756.1231</v>
      </c>
      <c r="P14" s="1">
        <f>VLOOKUP($A14,'CAPEX - PAN'!$A$3:$J$21,10,FALSE)</f>
        <v>9592000</v>
      </c>
      <c r="Q14" s="1">
        <f>VLOOKUP($A14,'OPEX - PAN'!$A$3:$J$23,10,FALSE)</f>
        <v>2459159.8695999999</v>
      </c>
      <c r="R14" s="1">
        <f>VLOOKUP($A14,'RECEITAS - PAN'!$A$3:$J$23,10,FALSE)</f>
        <v>451092.6495</v>
      </c>
      <c r="S14" s="1">
        <f t="shared" si="2"/>
        <v>-11600067.220100001</v>
      </c>
      <c r="T14" s="1">
        <f>VLOOKUP($A14,'CAPEX - PAN'!$A$3:$K$21,11,FALSE)</f>
        <v>0</v>
      </c>
      <c r="U14" s="1">
        <f>VLOOKUP($A14,'OPEX - PAN'!$A$3:$K$23,11,FALSE)</f>
        <v>2462344.2428000001</v>
      </c>
      <c r="V14" s="1">
        <f>VLOOKUP($A14,'RECEITAS - PAN'!$A$3:$K$23,11,FALSE)</f>
        <v>939648.51399999997</v>
      </c>
      <c r="W14" s="1">
        <f t="shared" si="3"/>
        <v>-1522695.7288000002</v>
      </c>
      <c r="X14" s="1">
        <f>VLOOKUP($A14,'CAPEX - PAN'!$A$3:$L$21,12,FALSE)</f>
        <v>176280.99</v>
      </c>
      <c r="Y14" s="1">
        <f>VLOOKUP($A14,'OPEX - PAN'!$A$3:$L$23,12,FALSE)</f>
        <v>2465698.5482999999</v>
      </c>
      <c r="Z14" s="1">
        <f>VLOOKUP($A14,'RECEITAS - PAN'!$A$3:$L$23,12,FALSE)</f>
        <v>979110.9314</v>
      </c>
      <c r="AA14" s="1">
        <f t="shared" si="4"/>
        <v>-1662868.6068999998</v>
      </c>
      <c r="AB14" s="1">
        <f>VLOOKUP($A14,'CAPEX - PAN'!$A$3:$M$21,13,FALSE)</f>
        <v>0</v>
      </c>
      <c r="AC14" s="1">
        <f>VLOOKUP($A14,'OPEX - PAN'!$A$3:$M$23,13,FALSE)</f>
        <v>2466718.7212999999</v>
      </c>
      <c r="AD14" s="1">
        <f>VLOOKUP($A14,'RECEITAS - PAN'!$A$3:$M$23,13,FALSE)</f>
        <v>991112.96589999995</v>
      </c>
      <c r="AE14" s="1">
        <f t="shared" si="5"/>
        <v>-1475605.7553999999</v>
      </c>
      <c r="AF14" s="1">
        <f>VLOOKUP($A14,'CAPEX - PAN'!$A$3:$N$21,14,FALSE)</f>
        <v>0</v>
      </c>
      <c r="AG14" s="1">
        <f>VLOOKUP($A14,'OPEX - PAN'!$A$3:$N$23,14,FALSE)</f>
        <v>2470530.3119999999</v>
      </c>
      <c r="AH14" s="1">
        <f>VLOOKUP($A14,'RECEITAS - PAN'!$A$3:$N$23,14,FALSE)</f>
        <v>1035955.2095999999</v>
      </c>
      <c r="AI14" s="1">
        <f t="shared" si="6"/>
        <v>-1434575.1024</v>
      </c>
      <c r="AJ14" s="1">
        <f>VLOOKUP($A14,'CAPEX - PAN'!$A$3:$O$21,15,FALSE)</f>
        <v>176280.99</v>
      </c>
      <c r="AK14" s="1">
        <f>VLOOKUP($A14,'OPEX - PAN'!$A$3:$O$23,15,FALSE)</f>
        <v>2474321.7511</v>
      </c>
      <c r="AL14" s="1">
        <f>VLOOKUP($A14,'RECEITAS - PAN'!$A$3:$O$23,15,FALSE)</f>
        <v>1080560.3759999999</v>
      </c>
      <c r="AM14" s="1">
        <f t="shared" si="7"/>
        <v>-1570042.3651000001</v>
      </c>
      <c r="AN14" s="1">
        <f>VLOOKUP($A14,'CAPEX - PAN'!$A$3:$P$21,16,FALSE)</f>
        <v>0</v>
      </c>
      <c r="AO14" s="1">
        <f>VLOOKUP($A14,'OPEX - PAN'!$A$3:$P$23,16,FALSE)</f>
        <v>2475236.1283</v>
      </c>
      <c r="AP14" s="1">
        <f>VLOOKUP($A14,'RECEITAS - PAN'!$A$3:$P$23,16,FALSE)</f>
        <v>1091317.7549999999</v>
      </c>
      <c r="AQ14" s="1">
        <f t="shared" si="8"/>
        <v>-1383918.3733000001</v>
      </c>
      <c r="AR14" s="1">
        <f>VLOOKUP($A14,'CAPEX - PAN'!$A$3:$Q$21,17,FALSE)</f>
        <v>9253990.910000002</v>
      </c>
      <c r="AS14" s="1">
        <f>VLOOKUP($A14,'OPEX - PAN'!$A$3:$Q$23,17,FALSE)</f>
        <v>2479003.5408999999</v>
      </c>
      <c r="AT14" s="1">
        <f>VLOOKUP($A14,'RECEITAS - PAN'!$A$3:$Q$23,17,FALSE)</f>
        <v>1135640.2555</v>
      </c>
      <c r="AU14" s="1">
        <f t="shared" si="9"/>
        <v>-10597354.195400001</v>
      </c>
      <c r="AV14" s="1">
        <f>VLOOKUP($A14,'CAPEX - PAN'!$A$3:$R$21,18,FALSE)</f>
        <v>0</v>
      </c>
      <c r="AW14" s="1">
        <f>VLOOKUP($A14,'OPEX - PAN'!$A$3:$R$23,18,FALSE)</f>
        <v>2479899.2499000002</v>
      </c>
      <c r="AX14" s="1">
        <f>VLOOKUP($A14,'RECEITAS - PAN'!$A$3:$R$23,18,FALSE)</f>
        <v>1146178.0086000001</v>
      </c>
      <c r="AY14" s="1">
        <f t="shared" si="10"/>
        <v>-1333721.2413000001</v>
      </c>
      <c r="AZ14" s="1">
        <f>VLOOKUP($A14,'CAPEX - PAN'!$A$3:$S$21,19,FALSE)</f>
        <v>0</v>
      </c>
      <c r="BA14" s="1">
        <f>VLOOKUP($A14,'OPEX - PAN'!$A$3:$S$23,19,FALSE)</f>
        <v>2483755.2634999999</v>
      </c>
      <c r="BB14" s="1">
        <f>VLOOKUP($A14,'RECEITAS - PAN'!$A$3:$S$23,19,FALSE)</f>
        <v>1191542.8744999999</v>
      </c>
      <c r="BC14" s="1">
        <f t="shared" si="11"/>
        <v>-1292212.389</v>
      </c>
      <c r="BD14" s="1">
        <f>VLOOKUP($A14,'CAPEX - PAN'!$A$3:$T$21,20,FALSE)</f>
        <v>0</v>
      </c>
      <c r="BE14" s="1">
        <f>VLOOKUP($A14,'OPEX - PAN'!$A$3:$T$23,20,FALSE)</f>
        <v>2484619.2618</v>
      </c>
      <c r="BF14" s="1">
        <f>VLOOKUP($A14,'RECEITAS - PAN'!$A$3:$T$23,20,FALSE)</f>
        <v>1201707.5604999999</v>
      </c>
      <c r="BG14" s="1">
        <f t="shared" si="12"/>
        <v>-1282911.7013000001</v>
      </c>
      <c r="BH14" s="1">
        <f>VLOOKUP($A14,'CAPEX - PAN'!$A$3:$U$21,21,FALSE)</f>
        <v>0</v>
      </c>
      <c r="BI14" s="1">
        <f>VLOOKUP($A14,'OPEX - PAN'!$A$3:$U$23,21,FALSE)</f>
        <v>2485488.298</v>
      </c>
      <c r="BJ14" s="1">
        <f>VLOOKUP($A14,'RECEITAS - PAN'!$A$3:$U$23,21,FALSE)</f>
        <v>1211931.5157999999</v>
      </c>
      <c r="BK14" s="1">
        <f t="shared" si="13"/>
        <v>-1273556.7822</v>
      </c>
      <c r="BL14" s="1">
        <f>VLOOKUP($A14,'CAPEX - PAN'!$A$3:$V$21,22,FALSE)</f>
        <v>7369668.2600000007</v>
      </c>
      <c r="BM14" s="1">
        <f>VLOOKUP($A14,'OPEX - PAN'!$A$3:$V$23,22,FALSE)</f>
        <v>2489317.5213000001</v>
      </c>
      <c r="BN14" s="1">
        <f>VLOOKUP($A14,'RECEITAS - PAN'!$A$3:$V$23,22,FALSE)</f>
        <v>1256981.2021000001</v>
      </c>
      <c r="BO14" s="1">
        <f t="shared" si="14"/>
        <v>-8602004.5792000014</v>
      </c>
      <c r="BP14" s="1">
        <f>VLOOKUP($A14,'CAPEX - PAN'!$A$3:$W$21,23,FALSE)</f>
        <v>0</v>
      </c>
      <c r="BQ14" s="1">
        <f>VLOOKUP($A14,'OPEX - PAN'!$A$3:$W$23,23,FALSE)</f>
        <v>2490224.3417000002</v>
      </c>
      <c r="BR14" s="1">
        <f>VLOOKUP($A14,'RECEITAS - PAN'!$A$3:$W$23,23,FALSE)</f>
        <v>1267649.6771</v>
      </c>
      <c r="BS14" s="1">
        <f t="shared" si="15"/>
        <v>-1222574.6646000003</v>
      </c>
      <c r="BT14" s="1">
        <f>VLOOKUP($A14,'CAPEX - PAN'!$A$3:$X$21,24,FALSE)</f>
        <v>0</v>
      </c>
      <c r="BU14" s="1">
        <f>VLOOKUP($A14,'OPEX - PAN'!$A$3:$X$23,24,FALSE)</f>
        <v>2494170.5994000002</v>
      </c>
      <c r="BV14" s="1">
        <f>VLOOKUP($A14,'RECEITAS - PAN'!$A$3:$X$23,24,FALSE)</f>
        <v>1314076.2379999999</v>
      </c>
      <c r="BW14" s="1">
        <f t="shared" si="16"/>
        <v>-1180094.3614000003</v>
      </c>
      <c r="BX14" s="1">
        <f>VLOOKUP($A14,'CAPEX - PAN'!$A$3:$Y$21,25,FALSE)</f>
        <v>176280.99</v>
      </c>
      <c r="BY14" s="1">
        <f>VLOOKUP($A14,'OPEX - PAN'!$A$3:$Y$23,25,FALSE)</f>
        <v>2495101.8730000001</v>
      </c>
      <c r="BZ14" s="1">
        <f>VLOOKUP($A14,'RECEITAS - PAN'!$A$3:$Y$23,25,FALSE)</f>
        <v>1325032.3987</v>
      </c>
      <c r="CA14" s="1">
        <f t="shared" si="17"/>
        <v>-1346350.4643000001</v>
      </c>
      <c r="CB14" s="1">
        <f>VLOOKUP($A14,'CAPEX - PAN'!$A$3:$Z$21,26,FALSE)</f>
        <v>0</v>
      </c>
      <c r="CC14" s="1">
        <f>VLOOKUP($A14,'OPEX - PAN'!$A$3:$Z$23,26,FALSE)</f>
        <v>2499016.7404999998</v>
      </c>
      <c r="CD14" s="1">
        <f>VLOOKUP($A14,'RECEITAS - PAN'!$A$3:$Z$23,26,FALSE)</f>
        <v>1371089.6631</v>
      </c>
      <c r="CE14" s="1">
        <f t="shared" si="18"/>
        <v>-1127927.0773999998</v>
      </c>
      <c r="CF14" s="1">
        <f>VLOOKUP($A14,'CAPEX - PAN'!$A$3:$AA$21,27,FALSE)</f>
        <v>9253990.910000002</v>
      </c>
      <c r="CG14" s="1">
        <f>VLOOKUP($A14,'OPEX - PAN'!$A$3:$AA$23,27,FALSE)</f>
        <v>2499865.6252000001</v>
      </c>
      <c r="CH14" s="1">
        <f>VLOOKUP($A14,'RECEITAS - PAN'!$A$3:$AA$23,27,FALSE)</f>
        <v>1381076.5412000001</v>
      </c>
      <c r="CI14" s="1">
        <f t="shared" si="19"/>
        <v>-10372779.994000003</v>
      </c>
      <c r="CJ14" s="1">
        <f>VLOOKUP($A14,'CAPEX - PAN'!$A$3:$AB$21,28,FALSE)</f>
        <v>0</v>
      </c>
      <c r="CK14" s="1">
        <f>VLOOKUP($A14,'OPEX - PAN'!$A$3:$AB$23,28,FALSE)</f>
        <v>2503783.0115999999</v>
      </c>
      <c r="CL14" s="1">
        <f>VLOOKUP($A14,'RECEITAS - PAN'!$A$3:$AB$23,28,FALSE)</f>
        <v>1427163.4402000001</v>
      </c>
      <c r="CM14" s="1">
        <f t="shared" si="20"/>
        <v>-1076619.5713999998</v>
      </c>
      <c r="CN14" s="1">
        <f>VLOOKUP($A14,'CAPEX - PAN'!$A$3:$AC$21,29,FALSE)</f>
        <v>0</v>
      </c>
      <c r="CO14" s="1">
        <f>VLOOKUP($A14,'OPEX - PAN'!$A$3:$AC$23,29,FALSE)</f>
        <v>2504577.6422999999</v>
      </c>
      <c r="CP14" s="1">
        <f>VLOOKUP($A14,'RECEITAS - PAN'!$A$3:$AC$23,29,FALSE)</f>
        <v>1436512.0366</v>
      </c>
      <c r="CQ14" s="1">
        <f t="shared" si="21"/>
        <v>-1068065.6057</v>
      </c>
      <c r="CR14" s="1">
        <f>VLOOKUP($A14,'CAPEX - PAN'!$A$3:$AD$21,30,FALSE)</f>
        <v>0</v>
      </c>
      <c r="CS14" s="1">
        <f>VLOOKUP($A14,'OPEX - PAN'!$A$3:$AD$23,30,FALSE)</f>
        <v>2508493.9931000001</v>
      </c>
      <c r="CT14" s="1">
        <f>VLOOKUP($A14,'RECEITAS - PAN'!$A$3:$AD$23,30,FALSE)</f>
        <v>1482586.7522</v>
      </c>
      <c r="CU14" s="1">
        <f t="shared" si="22"/>
        <v>-1025907.2409000001</v>
      </c>
      <c r="CV14" s="1">
        <f>VLOOKUP($A14,'CAPEX - PAN'!$A$3:$AE$21,31,FALSE)</f>
        <v>0</v>
      </c>
      <c r="CW14" s="1">
        <f>VLOOKUP($A14,'OPEX - PAN'!$A$3:$AE$23,31,FALSE)</f>
        <v>2509219.4493999998</v>
      </c>
      <c r="CX14" s="1">
        <f>VLOOKUP($A14,'RECEITAS - PAN'!$A$3:$AE$23,31,FALSE)</f>
        <v>1491121.5323000001</v>
      </c>
      <c r="CY14" s="1">
        <f t="shared" si="23"/>
        <v>-1018097.9170999997</v>
      </c>
      <c r="CZ14" s="1">
        <f>VLOOKUP($A14,'CAPEX - PAN'!$A$3:$AF$21,32,FALSE)</f>
        <v>176280.99</v>
      </c>
      <c r="DA14" s="1">
        <f>VLOOKUP($A14,'OPEX - PAN'!$A$3:$AF$23,32,FALSE)</f>
        <v>2513031.0400999999</v>
      </c>
      <c r="DB14" s="1">
        <f>VLOOKUP($A14,'RECEITAS - PAN'!$A$3:$AF$23,32,FALSE)</f>
        <v>1535963.7759</v>
      </c>
      <c r="DC14" s="1">
        <f t="shared" si="24"/>
        <v>-1153348.2541999999</v>
      </c>
      <c r="DD14" s="1">
        <f>VLOOKUP($A14,'CAPEX - PAN'!$A$3:$AG$21,33,FALSE)</f>
        <v>0</v>
      </c>
      <c r="DE14" s="1">
        <f>VLOOKUP($A14,'OPEX - PAN'!$A$3:$AG$23,33,FALSE)</f>
        <v>2513607.8785999999</v>
      </c>
      <c r="DF14" s="1">
        <f>VLOOKUP($A14,'RECEITAS - PAN'!$A$3:$AG$23,33,FALSE)</f>
        <v>1542750.1114000001</v>
      </c>
      <c r="DG14" s="1">
        <f t="shared" si="25"/>
        <v>-970857.76719999989</v>
      </c>
      <c r="DH14" s="1">
        <f>VLOOKUP($A14,'CAPEX - PAN'!$A$3:$AH$21,34,FALSE)</f>
        <v>0</v>
      </c>
      <c r="DI14" s="1">
        <f>VLOOKUP($A14,'OPEX - PAN'!$A$3:$AH$23,34,FALSE)</f>
        <v>2514187.2360999999</v>
      </c>
      <c r="DJ14" s="1">
        <f>VLOOKUP($A14,'RECEITAS - PAN'!$A$3:$AH$23,34,FALSE)</f>
        <v>1549566.0815999999</v>
      </c>
      <c r="DK14" s="1">
        <f t="shared" si="26"/>
        <v>-964621.15449999995</v>
      </c>
      <c r="DL14" s="1">
        <f>VLOOKUP($A14,'CAPEX - PAN'!$A$3:$AI$21,35,FALSE)</f>
        <v>176280.99</v>
      </c>
      <c r="DM14" s="1">
        <f>VLOOKUP($A14,'OPEX - PAN'!$A$3:$AI$23,35,FALSE)</f>
        <v>2514777.0954999998</v>
      </c>
      <c r="DN14" s="1">
        <f>VLOOKUP($A14,'RECEITAS - PAN'!$A$3:$AI$23,35,FALSE)</f>
        <v>1556505.6041000001</v>
      </c>
      <c r="DO14" s="1">
        <f t="shared" si="27"/>
        <v>-1134552.4813999997</v>
      </c>
      <c r="DP14" s="1">
        <f>VLOOKUP($A14,'CAPEX - PAN'!$A$3:$AJ$21,36,FALSE)</f>
        <v>0</v>
      </c>
      <c r="DQ14" s="1">
        <f>VLOOKUP($A14,'OPEX - PAN'!$A$3:$AJ$23,36,FALSE)</f>
        <v>2521159.123126985</v>
      </c>
      <c r="DR14" s="1">
        <f>VLOOKUP($A14,'RECEITAS - PAN'!$A$3:$AJ$23,36,FALSE)</f>
        <v>1631588.2819634899</v>
      </c>
      <c r="DS14" s="1">
        <f t="shared" si="28"/>
        <v>-889570.84116349509</v>
      </c>
      <c r="DT14" s="1">
        <f>VLOOKUP($A14,'CAPEX - PAN'!$A$3:$AK$21,37,FALSE)</f>
        <v>0</v>
      </c>
      <c r="DU14" s="1">
        <f>VLOOKUP($A14,'OPEX - PAN'!$A$3:$AK$23,37,FALSE)</f>
        <v>2523185.6288530626</v>
      </c>
      <c r="DV14" s="1">
        <f>VLOOKUP($A14,'RECEITAS - PAN'!$A$3:$AK$23,37,FALSE)</f>
        <v>1655429.525820978</v>
      </c>
      <c r="DW14" s="1">
        <f t="shared" si="29"/>
        <v>-867756.10303208465</v>
      </c>
      <c r="DX14" s="12">
        <f t="shared" si="30"/>
        <v>55535055.030000009</v>
      </c>
      <c r="DY14" s="12">
        <f t="shared" si="31"/>
        <v>74688054.136780068</v>
      </c>
      <c r="DZ14" s="12">
        <f t="shared" si="32"/>
        <v>36519785.074084468</v>
      </c>
      <c r="EA14" s="12">
        <f t="shared" si="33"/>
        <v>-93703324.092695564</v>
      </c>
      <c r="EB14" s="3">
        <f>VLOOKUP(A14,'CAPEX - PAN'!$A$3:$AN$21,40,FALSE)</f>
        <v>1</v>
      </c>
      <c r="EC14" s="3">
        <f>VLOOKUP(A14,'BASE PAN - CAPEX'!$A$3:$H$22,8,FALSE)</f>
        <v>2</v>
      </c>
      <c r="ED14" s="63">
        <f t="shared" si="34"/>
        <v>-68284200.594400004</v>
      </c>
    </row>
    <row r="15" spans="1:134" x14ac:dyDescent="0.25">
      <c r="A15" t="s">
        <v>85</v>
      </c>
      <c r="B15" t="s">
        <v>86</v>
      </c>
      <c r="C15">
        <v>130340</v>
      </c>
      <c r="D15" t="s">
        <v>87</v>
      </c>
      <c r="E15" t="s">
        <v>86</v>
      </c>
      <c r="F15" t="s">
        <v>30</v>
      </c>
      <c r="G15" t="s">
        <v>28</v>
      </c>
      <c r="H15" s="1">
        <f>VLOOKUP($A15,'CAPEX - PAN'!$A$3:$H$23,8,FALSE)</f>
        <v>25343000</v>
      </c>
      <c r="I15" s="1">
        <f>VLOOKUP($A15,'OPEX - PAN'!$A$3:$H$23,8,FALSE)</f>
        <v>4603666.5942000002</v>
      </c>
      <c r="J15" s="1">
        <f>VLOOKUP($A15,'RECEITAS - PAN'!$A$3:$H$23,8,FALSE)</f>
        <v>1267893.5922999999</v>
      </c>
      <c r="K15" s="1">
        <f t="shared" si="0"/>
        <v>-28678773.001900002</v>
      </c>
      <c r="L15" s="1">
        <f>VLOOKUP($A15,'CAPEX - PAN'!$A$3:$I$21,9,FALSE)</f>
        <v>24565050.257266611</v>
      </c>
      <c r="M15" s="1">
        <f>VLOOKUP($A15,'OPEX - PAN'!$A$3:$I$23,9,FALSE)</f>
        <v>4619559.8777999999</v>
      </c>
      <c r="N15" s="1">
        <f>VLOOKUP($A15,'RECEITAS - PAN'!$A$3:$I$23,9,FALSE)</f>
        <v>1367226.61445</v>
      </c>
      <c r="O15" s="1">
        <f t="shared" si="35"/>
        <v>-27817383.52061661</v>
      </c>
      <c r="P15" s="1">
        <f>VLOOKUP($A15,'CAPEX - PAN'!$A$3:$J$21,10,FALSE)</f>
        <v>24468000</v>
      </c>
      <c r="Q15" s="1">
        <f>VLOOKUP($A15,'OPEX - PAN'!$A$3:$J$23,10,FALSE)</f>
        <v>4632710.7614000002</v>
      </c>
      <c r="R15" s="1">
        <f>VLOOKUP($A15,'RECEITAS - PAN'!$A$3:$J$23,10,FALSE)</f>
        <v>1449419.6368499999</v>
      </c>
      <c r="S15" s="1">
        <f t="shared" si="2"/>
        <v>-27651291.12455</v>
      </c>
      <c r="T15" s="1">
        <f>VLOOKUP($A15,'CAPEX - PAN'!$A$3:$K$21,11,FALSE)</f>
        <v>97050.257266612709</v>
      </c>
      <c r="U15" s="1">
        <f>VLOOKUP($A15,'OPEX - PAN'!$A$3:$K$23,11,FALSE)</f>
        <v>4644710.0661000004</v>
      </c>
      <c r="V15" s="1">
        <f>VLOOKUP($A15,'RECEITAS - PAN'!$A$3:$K$23,11,FALSE)</f>
        <v>3048830.5828</v>
      </c>
      <c r="W15" s="1">
        <f t="shared" si="3"/>
        <v>-1692929.7405666132</v>
      </c>
      <c r="X15" s="1">
        <f>VLOOKUP($A15,'CAPEX - PAN'!$A$3:$L$21,12,FALSE)</f>
        <v>221148.2</v>
      </c>
      <c r="Y15" s="1">
        <f>VLOOKUP($A15,'OPEX - PAN'!$A$3:$L$23,12,FALSE)</f>
        <v>4655969.3640000001</v>
      </c>
      <c r="Z15" s="1">
        <f>VLOOKUP($A15,'RECEITAS - PAN'!$A$3:$L$23,12,FALSE)</f>
        <v>3189571.8064000001</v>
      </c>
      <c r="AA15" s="1">
        <f t="shared" si="4"/>
        <v>-1687545.7575999999</v>
      </c>
      <c r="AB15" s="1">
        <f>VLOOKUP($A15,'CAPEX - PAN'!$A$3:$M$21,13,FALSE)</f>
        <v>97050.257266612709</v>
      </c>
      <c r="AC15" s="1">
        <f>VLOOKUP($A15,'OPEX - PAN'!$A$3:$M$23,13,FALSE)</f>
        <v>4666943.0716000004</v>
      </c>
      <c r="AD15" s="1">
        <f>VLOOKUP($A15,'RECEITAS - PAN'!$A$3:$M$23,13,FALSE)</f>
        <v>3326743.1516999998</v>
      </c>
      <c r="AE15" s="1">
        <f t="shared" si="5"/>
        <v>-1437250.1771666133</v>
      </c>
      <c r="AF15" s="1">
        <f>VLOOKUP($A15,'CAPEX - PAN'!$A$3:$N$21,14,FALSE)</f>
        <v>0</v>
      </c>
      <c r="AG15" s="1">
        <f>VLOOKUP($A15,'OPEX - PAN'!$A$3:$N$23,14,FALSE)</f>
        <v>4677329.6407000003</v>
      </c>
      <c r="AH15" s="1">
        <f>VLOOKUP($A15,'RECEITAS - PAN'!$A$3:$N$23,14,FALSE)</f>
        <v>3456575.2659</v>
      </c>
      <c r="AI15" s="1">
        <f t="shared" si="6"/>
        <v>-1220754.3748000003</v>
      </c>
      <c r="AJ15" s="1">
        <f>VLOOKUP($A15,'CAPEX - PAN'!$A$3:$O$21,15,FALSE)</f>
        <v>318198.45726661274</v>
      </c>
      <c r="AK15" s="1">
        <f>VLOOKUP($A15,'OPEX - PAN'!$A$3:$O$23,15,FALSE)</f>
        <v>4687169.0290999999</v>
      </c>
      <c r="AL15" s="1">
        <f>VLOOKUP($A15,'RECEITAS - PAN'!$A$3:$O$23,15,FALSE)</f>
        <v>3579567.62</v>
      </c>
      <c r="AM15" s="1">
        <f t="shared" si="7"/>
        <v>-1425799.8663666125</v>
      </c>
      <c r="AN15" s="1">
        <f>VLOOKUP($A15,'CAPEX - PAN'!$A$3:$P$21,16,FALSE)</f>
        <v>0</v>
      </c>
      <c r="AO15" s="1">
        <f>VLOOKUP($A15,'OPEX - PAN'!$A$3:$P$23,16,FALSE)</f>
        <v>4696405.5001999997</v>
      </c>
      <c r="AP15" s="1">
        <f>VLOOKUP($A15,'RECEITAS - PAN'!$A$3:$P$23,16,FALSE)</f>
        <v>3695023.5093999999</v>
      </c>
      <c r="AQ15" s="1">
        <f t="shared" si="8"/>
        <v>-1001381.9907999998</v>
      </c>
      <c r="AR15" s="1">
        <f>VLOOKUP($A15,'CAPEX - PAN'!$A$3:$Q$21,17,FALSE)</f>
        <v>9084197.3172666114</v>
      </c>
      <c r="AS15" s="1">
        <f>VLOOKUP($A15,'OPEX - PAN'!$A$3:$Q$23,17,FALSE)</f>
        <v>4705888.6654000003</v>
      </c>
      <c r="AT15" s="1">
        <f>VLOOKUP($A15,'RECEITAS - PAN'!$A$3:$Q$23,17,FALSE)</f>
        <v>3813563.0745999999</v>
      </c>
      <c r="AU15" s="1">
        <f t="shared" si="9"/>
        <v>-9976522.9080666117</v>
      </c>
      <c r="AV15" s="1">
        <f>VLOOKUP($A15,'CAPEX - PAN'!$A$3:$R$21,18,FALSE)</f>
        <v>0</v>
      </c>
      <c r="AW15" s="1">
        <f>VLOOKUP($A15,'OPEX - PAN'!$A$3:$R$23,18,FALSE)</f>
        <v>4715217.4301000005</v>
      </c>
      <c r="AX15" s="1">
        <f>VLOOKUP($A15,'RECEITAS - PAN'!$A$3:$R$23,18,FALSE)</f>
        <v>3930172.6329999999</v>
      </c>
      <c r="AY15" s="1">
        <f t="shared" si="10"/>
        <v>-785044.79710000055</v>
      </c>
      <c r="AZ15" s="1">
        <f>VLOOKUP($A15,'CAPEX - PAN'!$A$3:$S$21,19,FALSE)</f>
        <v>97050.257266612709</v>
      </c>
      <c r="BA15" s="1">
        <f>VLOOKUP($A15,'OPEX - PAN'!$A$3:$S$23,19,FALSE)</f>
        <v>4724985.4247000003</v>
      </c>
      <c r="BB15" s="1">
        <f>VLOOKUP($A15,'RECEITAS - PAN'!$A$3:$S$23,19,FALSE)</f>
        <v>4052272.5652000001</v>
      </c>
      <c r="BC15" s="1">
        <f t="shared" si="11"/>
        <v>-769763.11676661298</v>
      </c>
      <c r="BD15" s="1">
        <f>VLOOKUP($A15,'CAPEX - PAN'!$A$3:$T$21,20,FALSE)</f>
        <v>0</v>
      </c>
      <c r="BE15" s="1">
        <f>VLOOKUP($A15,'OPEX - PAN'!$A$3:$T$23,20,FALSE)</f>
        <v>4734532.7295000004</v>
      </c>
      <c r="BF15" s="1">
        <f>VLOOKUP($A15,'RECEITAS - PAN'!$A$3:$T$23,20,FALSE)</f>
        <v>4171613.8753</v>
      </c>
      <c r="BG15" s="1">
        <f t="shared" si="12"/>
        <v>-562918.85420000041</v>
      </c>
      <c r="BH15" s="1">
        <f>VLOOKUP($A15,'CAPEX - PAN'!$A$3:$U$21,21,FALSE)</f>
        <v>97050.257266612709</v>
      </c>
      <c r="BI15" s="1">
        <f>VLOOKUP($A15,'OPEX - PAN'!$A$3:$U$23,21,FALSE)</f>
        <v>4744442.0480000004</v>
      </c>
      <c r="BJ15" s="1">
        <f>VLOOKUP($A15,'RECEITAS - PAN'!$A$3:$U$23,21,FALSE)</f>
        <v>4295480.3568000002</v>
      </c>
      <c r="BK15" s="1">
        <f t="shared" si="13"/>
        <v>-546011.94846661296</v>
      </c>
      <c r="BL15" s="1">
        <f>VLOOKUP($A15,'CAPEX - PAN'!$A$3:$V$21,22,FALSE)</f>
        <v>5407363.2599999998</v>
      </c>
      <c r="BM15" s="1">
        <f>VLOOKUP($A15,'OPEX - PAN'!$A$3:$V$23,22,FALSE)</f>
        <v>4754326.7512999997</v>
      </c>
      <c r="BN15" s="1">
        <f>VLOOKUP($A15,'RECEITAS - PAN'!$A$3:$V$23,22,FALSE)</f>
        <v>4419039.1475999998</v>
      </c>
      <c r="BO15" s="1">
        <f t="shared" si="14"/>
        <v>-5742650.8636999996</v>
      </c>
      <c r="BP15" s="1">
        <f>VLOOKUP($A15,'CAPEX - PAN'!$A$3:$W$21,23,FALSE)</f>
        <v>97050.257266612709</v>
      </c>
      <c r="BQ15" s="1">
        <f>VLOOKUP($A15,'OPEX - PAN'!$A$3:$W$23,23,FALSE)</f>
        <v>4764647.5210999995</v>
      </c>
      <c r="BR15" s="1">
        <f>VLOOKUP($A15,'RECEITAS - PAN'!$A$3:$W$23,23,FALSE)</f>
        <v>4548048.7709999997</v>
      </c>
      <c r="BS15" s="1">
        <f t="shared" si="15"/>
        <v>-313649.00736661255</v>
      </c>
      <c r="BT15" s="1">
        <f>VLOOKUP($A15,'CAPEX - PAN'!$A$3:$X$21,24,FALSE)</f>
        <v>0</v>
      </c>
      <c r="BU15" s="1">
        <f>VLOOKUP($A15,'OPEX - PAN'!$A$3:$X$23,24,FALSE)</f>
        <v>4774998.7742999997</v>
      </c>
      <c r="BV15" s="1">
        <f>VLOOKUP($A15,'RECEITAS - PAN'!$A$3:$X$23,24,FALSE)</f>
        <v>4677439.4353999998</v>
      </c>
      <c r="BW15" s="1">
        <f t="shared" si="16"/>
        <v>-97559.338899999857</v>
      </c>
      <c r="BX15" s="1">
        <f>VLOOKUP($A15,'CAPEX - PAN'!$A$3:$Y$21,25,FALSE)</f>
        <v>318198.45726661274</v>
      </c>
      <c r="BY15" s="1">
        <f>VLOOKUP($A15,'OPEX - PAN'!$A$3:$Y$23,25,FALSE)</f>
        <v>4785817.4617999997</v>
      </c>
      <c r="BZ15" s="1">
        <f>VLOOKUP($A15,'RECEITAS - PAN'!$A$3:$Y$23,25,FALSE)</f>
        <v>4812673.0295000002</v>
      </c>
      <c r="CA15" s="1">
        <f t="shared" si="17"/>
        <v>-291342.88956661226</v>
      </c>
      <c r="CB15" s="1">
        <f>VLOOKUP($A15,'CAPEX - PAN'!$A$3:$Z$21,26,FALSE)</f>
        <v>0</v>
      </c>
      <c r="CC15" s="1">
        <f>VLOOKUP($A15,'OPEX - PAN'!$A$3:$Z$23,26,FALSE)</f>
        <v>4796311.5735999998</v>
      </c>
      <c r="CD15" s="1">
        <f>VLOOKUP($A15,'RECEITAS - PAN'!$A$3:$Z$23,26,FALSE)</f>
        <v>4943849.4272999996</v>
      </c>
      <c r="CE15" s="1">
        <f t="shared" si="18"/>
        <v>147537.85369999986</v>
      </c>
      <c r="CF15" s="1">
        <f>VLOOKUP($A15,'CAPEX - PAN'!$A$3:$AA$21,27,FALSE)</f>
        <v>9084197.3172666114</v>
      </c>
      <c r="CG15" s="1">
        <f>VLOOKUP($A15,'OPEX - PAN'!$A$3:$AA$23,27,FALSE)</f>
        <v>4807213.5861</v>
      </c>
      <c r="CH15" s="1">
        <f>VLOOKUP($A15,'RECEITAS - PAN'!$A$3:$AA$23,27,FALSE)</f>
        <v>5080124.5834999997</v>
      </c>
      <c r="CI15" s="1">
        <f t="shared" si="19"/>
        <v>-8811286.3198666126</v>
      </c>
      <c r="CJ15" s="1">
        <f>VLOOKUP($A15,'CAPEX - PAN'!$A$3:$AB$21,28,FALSE)</f>
        <v>0</v>
      </c>
      <c r="CK15" s="1">
        <f>VLOOKUP($A15,'OPEX - PAN'!$A$3:$AB$23,28,FALSE)</f>
        <v>4817945.4128</v>
      </c>
      <c r="CL15" s="1">
        <f>VLOOKUP($A15,'RECEITAS - PAN'!$A$3:$AB$23,28,FALSE)</f>
        <v>5214272.4162999997</v>
      </c>
      <c r="CM15" s="1">
        <f t="shared" si="20"/>
        <v>396327.00349999964</v>
      </c>
      <c r="CN15" s="1">
        <f>VLOOKUP($A15,'CAPEX - PAN'!$A$3:$AC$21,29,FALSE)</f>
        <v>97050.257266612709</v>
      </c>
      <c r="CO15" s="1">
        <f>VLOOKUP($A15,'OPEX - PAN'!$A$3:$AC$23,29,FALSE)</f>
        <v>4828829.8027999997</v>
      </c>
      <c r="CP15" s="1">
        <f>VLOOKUP($A15,'RECEITAS - PAN'!$A$3:$AC$23,29,FALSE)</f>
        <v>5350327.2923999997</v>
      </c>
      <c r="CQ15" s="1">
        <f t="shared" si="21"/>
        <v>424447.23233338725</v>
      </c>
      <c r="CR15" s="1">
        <f>VLOOKUP($A15,'CAPEX - PAN'!$A$3:$AD$21,30,FALSE)</f>
        <v>0</v>
      </c>
      <c r="CS15" s="1">
        <f>VLOOKUP($A15,'OPEX - PAN'!$A$3:$AD$23,30,FALSE)</f>
        <v>4839652.4420999996</v>
      </c>
      <c r="CT15" s="1">
        <f>VLOOKUP($A15,'RECEITAS - PAN'!$A$3:$AD$23,30,FALSE)</f>
        <v>5485610.2830999997</v>
      </c>
      <c r="CU15" s="1">
        <f t="shared" si="22"/>
        <v>645957.84100000001</v>
      </c>
      <c r="CV15" s="1">
        <f>VLOOKUP($A15,'CAPEX - PAN'!$A$3:$AE$21,31,FALSE)</f>
        <v>97050.257266612709</v>
      </c>
      <c r="CW15" s="1">
        <f>VLOOKUP($A15,'OPEX - PAN'!$A$3:$AE$23,31,FALSE)</f>
        <v>4850928.5948000001</v>
      </c>
      <c r="CX15" s="1">
        <f>VLOOKUP($A15,'RECEITAS - PAN'!$A$3:$AE$23,31,FALSE)</f>
        <v>5626562.1922000004</v>
      </c>
      <c r="CY15" s="1">
        <f t="shared" si="23"/>
        <v>678583.3401333876</v>
      </c>
      <c r="CZ15" s="1">
        <f>VLOOKUP($A15,'CAPEX - PAN'!$A$3:$AF$21,32,FALSE)</f>
        <v>221148.2</v>
      </c>
      <c r="DA15" s="1">
        <f>VLOOKUP($A15,'OPEX - PAN'!$A$3:$AF$23,32,FALSE)</f>
        <v>4861829.1157</v>
      </c>
      <c r="DB15" s="1">
        <f>VLOOKUP($A15,'RECEITAS - PAN'!$A$3:$AF$23,32,FALSE)</f>
        <v>5762818.7034</v>
      </c>
      <c r="DC15" s="1">
        <f t="shared" si="24"/>
        <v>679841.38770000008</v>
      </c>
      <c r="DD15" s="1">
        <f>VLOOKUP($A15,'CAPEX - PAN'!$A$3:$AG$21,33,FALSE)</f>
        <v>97050.257266612709</v>
      </c>
      <c r="DE15" s="1">
        <f>VLOOKUP($A15,'OPEX - PAN'!$A$3:$AG$23,33,FALSE)</f>
        <v>4873171.6659000004</v>
      </c>
      <c r="DF15" s="1">
        <f>VLOOKUP($A15,'RECEITAS - PAN'!$A$3:$AG$23,33,FALSE)</f>
        <v>5904600.5802999996</v>
      </c>
      <c r="DG15" s="1">
        <f t="shared" si="25"/>
        <v>934378.65713338647</v>
      </c>
      <c r="DH15" s="1">
        <f>VLOOKUP($A15,'CAPEX - PAN'!$A$3:$AH$21,34,FALSE)</f>
        <v>0</v>
      </c>
      <c r="DI15" s="1">
        <f>VLOOKUP($A15,'OPEX - PAN'!$A$3:$AH$23,34,FALSE)</f>
        <v>4884721.7964000003</v>
      </c>
      <c r="DJ15" s="1">
        <f>VLOOKUP($A15,'RECEITAS - PAN'!$A$3:$AH$23,34,FALSE)</f>
        <v>6048977.2120000003</v>
      </c>
      <c r="DK15" s="1">
        <f t="shared" si="26"/>
        <v>1164255.4155999999</v>
      </c>
      <c r="DL15" s="1">
        <f>VLOOKUP($A15,'CAPEX - PAN'!$A$3:$AI$21,35,FALSE)</f>
        <v>318198.45726661274</v>
      </c>
      <c r="DM15" s="1">
        <f>VLOOKUP($A15,'OPEX - PAN'!$A$3:$AI$23,35,FALSE)</f>
        <v>4896546.6722999997</v>
      </c>
      <c r="DN15" s="1">
        <f>VLOOKUP($A15,'RECEITAS - PAN'!$A$3:$AI$23,35,FALSE)</f>
        <v>6196788.1607999997</v>
      </c>
      <c r="DO15" s="1">
        <f t="shared" si="27"/>
        <v>982043.0312333873</v>
      </c>
      <c r="DP15" s="1">
        <f>VLOOKUP($A15,'CAPEX - PAN'!$A$3:$AJ$21,36,FALSE)</f>
        <v>0</v>
      </c>
      <c r="DQ15" s="1">
        <f>VLOOKUP($A15,'OPEX - PAN'!$A$3:$AJ$23,36,FALSE)</f>
        <v>4902917.5577499978</v>
      </c>
      <c r="DR15" s="1">
        <f>VLOOKUP($A15,'RECEITAS - PAN'!$A$3:$AJ$23,36,FALSE)</f>
        <v>6276424.2289460301</v>
      </c>
      <c r="DS15" s="1">
        <f t="shared" si="28"/>
        <v>1373506.6711960323</v>
      </c>
      <c r="DT15" s="1">
        <f>VLOOKUP($A15,'CAPEX - PAN'!$A$3:$AK$21,37,FALSE)</f>
        <v>97050.257266612709</v>
      </c>
      <c r="DU15" s="1">
        <f>VLOOKUP($A15,'OPEX - PAN'!$A$3:$AK$23,37,FALSE)</f>
        <v>4912780.3403507918</v>
      </c>
      <c r="DV15" s="1">
        <f>VLOOKUP($A15,'RECEITAS - PAN'!$A$3:$AK$23,37,FALSE)</f>
        <v>6399709.0115168989</v>
      </c>
      <c r="DW15" s="1">
        <f t="shared" si="29"/>
        <v>1389878.4138994943</v>
      </c>
      <c r="DX15" s="12">
        <f t="shared" si="30"/>
        <v>100222152.23899919</v>
      </c>
      <c r="DY15" s="12">
        <f t="shared" si="31"/>
        <v>142862169.27190077</v>
      </c>
      <c r="DZ15" s="12">
        <f t="shared" si="32"/>
        <v>131391218.75996292</v>
      </c>
      <c r="EA15" s="12">
        <f t="shared" si="33"/>
        <v>-111693102.75093704</v>
      </c>
      <c r="EB15" s="3">
        <f>VLOOKUP(A15,'CAPEX - PAN'!$A$3:$AN$21,40,FALSE)</f>
        <v>3</v>
      </c>
      <c r="EC15" s="3">
        <f>VLOOKUP(A15,'BASE PAN - CAPEX'!$A$3:$H$22,8,FALSE)</f>
        <v>3</v>
      </c>
      <c r="ED15" s="63">
        <f t="shared" si="34"/>
        <v>-110996022.04266629</v>
      </c>
    </row>
    <row r="16" spans="1:134" x14ac:dyDescent="0.25">
      <c r="A16" t="s">
        <v>130</v>
      </c>
      <c r="B16" t="s">
        <v>131</v>
      </c>
      <c r="C16">
        <v>210170</v>
      </c>
      <c r="D16" t="s">
        <v>136</v>
      </c>
      <c r="E16" t="s">
        <v>131</v>
      </c>
      <c r="F16" t="s">
        <v>26</v>
      </c>
      <c r="G16" t="s">
        <v>28</v>
      </c>
      <c r="H16" s="1">
        <f>VLOOKUP($A16,'CAPEX - PAN'!$A$3:$H$23,8,FALSE)</f>
        <v>12511443.67</v>
      </c>
      <c r="I16" s="1">
        <f>VLOOKUP($A16,'OPEX - PAN'!$A$3:$H$23,8,FALSE)</f>
        <v>3887245.0828999998</v>
      </c>
      <c r="J16" s="1">
        <f>VLOOKUP($A16,'RECEITAS - PAN'!$A$3:$H$23,8,FALSE)</f>
        <v>1481364.2590999999</v>
      </c>
      <c r="K16" s="1">
        <f t="shared" si="0"/>
        <v>-14917324.493799999</v>
      </c>
      <c r="L16" s="1">
        <f>VLOOKUP($A16,'CAPEX - PAN'!$A$3:$I$21,9,FALSE)</f>
        <v>11588970.37548645</v>
      </c>
      <c r="M16" s="1">
        <f>VLOOKUP($A16,'OPEX - PAN'!$A$3:$I$23,9,FALSE)</f>
        <v>3901815.17</v>
      </c>
      <c r="N16" s="1">
        <f>VLOOKUP($A16,'RECEITAS - PAN'!$A$3:$I$23,9,FALSE)</f>
        <v>1572427.3032500001</v>
      </c>
      <c r="O16" s="1">
        <f t="shared" si="35"/>
        <v>-13918358.24223645</v>
      </c>
      <c r="P16" s="1">
        <f>VLOOKUP($A16,'CAPEX - PAN'!$A$3:$J$21,10,FALSE)</f>
        <v>11512000</v>
      </c>
      <c r="Q16" s="1">
        <f>VLOOKUP($A16,'OPEX - PAN'!$A$3:$J$23,10,FALSE)</f>
        <v>3914399.7587000001</v>
      </c>
      <c r="R16" s="1">
        <f>VLOOKUP($A16,'RECEITAS - PAN'!$A$3:$J$23,10,FALSE)</f>
        <v>1651080.983</v>
      </c>
      <c r="S16" s="1">
        <f t="shared" si="2"/>
        <v>-13775318.775699999</v>
      </c>
      <c r="T16" s="1">
        <f>VLOOKUP($A16,'CAPEX - PAN'!$A$3:$K$21,11,FALSE)</f>
        <v>76970.375486450852</v>
      </c>
      <c r="U16" s="1">
        <f>VLOOKUP($A16,'OPEX - PAN'!$A$3:$K$23,11,FALSE)</f>
        <v>3926076.8401000001</v>
      </c>
      <c r="V16" s="1">
        <f>VLOOKUP($A16,'RECEITAS - PAN'!$A$3:$K$23,11,FALSE)</f>
        <v>3448125.4833</v>
      </c>
      <c r="W16" s="1">
        <f t="shared" si="3"/>
        <v>-554921.73228645104</v>
      </c>
      <c r="X16" s="1">
        <f>VLOOKUP($A16,'CAPEX - PAN'!$A$3:$L$21,12,FALSE)</f>
        <v>206408.15999999997</v>
      </c>
      <c r="Y16" s="1">
        <f>VLOOKUP($A16,'OPEX - PAN'!$A$3:$L$23,12,FALSE)</f>
        <v>3937114.5613000002</v>
      </c>
      <c r="Z16" s="1">
        <f>VLOOKUP($A16,'RECEITAS - PAN'!$A$3:$L$23,12,FALSE)</f>
        <v>3586096.9974000002</v>
      </c>
      <c r="AA16" s="1">
        <f t="shared" si="4"/>
        <v>-557425.72389999987</v>
      </c>
      <c r="AB16" s="1">
        <f>VLOOKUP($A16,'CAPEX - PAN'!$A$3:$M$21,13,FALSE)</f>
        <v>76970.375486450852</v>
      </c>
      <c r="AC16" s="1">
        <f>VLOOKUP($A16,'OPEX - PAN'!$A$3:$M$23,13,FALSE)</f>
        <v>3948340.5721</v>
      </c>
      <c r="AD16" s="1">
        <f>VLOOKUP($A16,'RECEITAS - PAN'!$A$3:$M$23,13,FALSE)</f>
        <v>3726422.1332999999</v>
      </c>
      <c r="AE16" s="1">
        <f t="shared" si="5"/>
        <v>-298888.81428645097</v>
      </c>
      <c r="AF16" s="1">
        <f>VLOOKUP($A16,'CAPEX - PAN'!$A$3:$N$21,14,FALSE)</f>
        <v>0</v>
      </c>
      <c r="AG16" s="1">
        <f>VLOOKUP($A16,'OPEX - PAN'!$A$3:$N$23,14,FALSE)</f>
        <v>3958868.4377000001</v>
      </c>
      <c r="AH16" s="1">
        <f>VLOOKUP($A16,'RECEITAS - PAN'!$A$3:$N$23,14,FALSE)</f>
        <v>3858020.4534</v>
      </c>
      <c r="AI16" s="1">
        <f t="shared" si="6"/>
        <v>-100847.98430000013</v>
      </c>
      <c r="AJ16" s="1">
        <f>VLOOKUP($A16,'CAPEX - PAN'!$A$3:$O$21,15,FALSE)</f>
        <v>283378.53548645083</v>
      </c>
      <c r="AK16" s="1">
        <f>VLOOKUP($A16,'OPEX - PAN'!$A$3:$O$23,15,FALSE)</f>
        <v>3968461.2393999998</v>
      </c>
      <c r="AL16" s="1">
        <f>VLOOKUP($A16,'RECEITAS - PAN'!$A$3:$O$23,15,FALSE)</f>
        <v>3977930.4745</v>
      </c>
      <c r="AM16" s="1">
        <f t="shared" si="7"/>
        <v>-273909.30038645066</v>
      </c>
      <c r="AN16" s="1">
        <f>VLOOKUP($A16,'CAPEX - PAN'!$A$3:$P$21,16,FALSE)</f>
        <v>0</v>
      </c>
      <c r="AO16" s="1">
        <f>VLOOKUP($A16,'OPEX - PAN'!$A$3:$P$23,16,FALSE)</f>
        <v>3977784.7083000001</v>
      </c>
      <c r="AP16" s="1">
        <f>VLOOKUP($A16,'RECEITAS - PAN'!$A$3:$P$23,16,FALSE)</f>
        <v>4094473.8352999999</v>
      </c>
      <c r="AQ16" s="1">
        <f t="shared" si="8"/>
        <v>116689.12699999986</v>
      </c>
      <c r="AR16" s="1">
        <f>VLOOKUP($A16,'CAPEX - PAN'!$A$3:$Q$21,17,FALSE)</f>
        <v>7496167.5354864514</v>
      </c>
      <c r="AS16" s="1">
        <f>VLOOKUP($A16,'OPEX - PAN'!$A$3:$Q$23,17,FALSE)</f>
        <v>3986631.676</v>
      </c>
      <c r="AT16" s="1">
        <f>VLOOKUP($A16,'RECEITAS - PAN'!$A$3:$Q$23,17,FALSE)</f>
        <v>4205060.9313000003</v>
      </c>
      <c r="AU16" s="1">
        <f t="shared" si="9"/>
        <v>-7277738.280186451</v>
      </c>
      <c r="AV16" s="1">
        <f>VLOOKUP($A16,'CAPEX - PAN'!$A$3:$R$21,18,FALSE)</f>
        <v>0</v>
      </c>
      <c r="AW16" s="1">
        <f>VLOOKUP($A16,'OPEX - PAN'!$A$3:$R$23,18,FALSE)</f>
        <v>3995757.7705999999</v>
      </c>
      <c r="AX16" s="1">
        <f>VLOOKUP($A16,'RECEITAS - PAN'!$A$3:$R$23,18,FALSE)</f>
        <v>4319137.1138000004</v>
      </c>
      <c r="AY16" s="1">
        <f t="shared" si="10"/>
        <v>323379.34320000047</v>
      </c>
      <c r="AZ16" s="1">
        <f>VLOOKUP($A16,'CAPEX - PAN'!$A$3:$S$21,19,FALSE)</f>
        <v>76970.375486450852</v>
      </c>
      <c r="BA16" s="1">
        <f>VLOOKUP($A16,'OPEX - PAN'!$A$3:$S$23,19,FALSE)</f>
        <v>4005071.1719999998</v>
      </c>
      <c r="BB16" s="1">
        <f>VLOOKUP($A16,'RECEITAS - PAN'!$A$3:$S$23,19,FALSE)</f>
        <v>4435554.6316999998</v>
      </c>
      <c r="BC16" s="1">
        <f t="shared" si="11"/>
        <v>353513.08421354915</v>
      </c>
      <c r="BD16" s="1">
        <f>VLOOKUP($A16,'CAPEX - PAN'!$A$3:$T$21,20,FALSE)</f>
        <v>0</v>
      </c>
      <c r="BE16" s="1">
        <f>VLOOKUP($A16,'OPEX - PAN'!$A$3:$T$23,20,FALSE)</f>
        <v>4014436.8604000001</v>
      </c>
      <c r="BF16" s="1">
        <f>VLOOKUP($A16,'RECEITAS - PAN'!$A$3:$T$23,20,FALSE)</f>
        <v>4552625.7366000004</v>
      </c>
      <c r="BG16" s="1">
        <f t="shared" si="12"/>
        <v>538188.87620000029</v>
      </c>
      <c r="BH16" s="1">
        <f>VLOOKUP($A16,'CAPEX - PAN'!$A$3:$U$21,21,FALSE)</f>
        <v>76970.375486450852</v>
      </c>
      <c r="BI16" s="1">
        <f>VLOOKUP($A16,'OPEX - PAN'!$A$3:$U$23,21,FALSE)</f>
        <v>4023692.2023</v>
      </c>
      <c r="BJ16" s="1">
        <f>VLOOKUP($A16,'RECEITAS - PAN'!$A$3:$U$23,21,FALSE)</f>
        <v>4668317.5110999998</v>
      </c>
      <c r="BK16" s="1">
        <f t="shared" si="13"/>
        <v>567654.93331354891</v>
      </c>
      <c r="BL16" s="1">
        <f>VLOOKUP($A16,'CAPEX - PAN'!$A$3:$V$21,22,FALSE)</f>
        <v>5521344.3999999994</v>
      </c>
      <c r="BM16" s="1">
        <f>VLOOKUP($A16,'OPEX - PAN'!$A$3:$V$23,22,FALSE)</f>
        <v>4032909.3794</v>
      </c>
      <c r="BN16" s="1">
        <f>VLOOKUP($A16,'RECEITAS - PAN'!$A$3:$V$23,22,FALSE)</f>
        <v>4783532.2242999999</v>
      </c>
      <c r="BO16" s="1">
        <f t="shared" si="14"/>
        <v>-4770721.5550999995</v>
      </c>
      <c r="BP16" s="1">
        <f>VLOOKUP($A16,'CAPEX - PAN'!$A$3:$W$21,23,FALSE)</f>
        <v>76970.375486450852</v>
      </c>
      <c r="BQ16" s="1">
        <f>VLOOKUP($A16,'OPEX - PAN'!$A$3:$W$23,23,FALSE)</f>
        <v>4042415.9942000001</v>
      </c>
      <c r="BR16" s="1">
        <f>VLOOKUP($A16,'RECEITAS - PAN'!$A$3:$W$23,23,FALSE)</f>
        <v>4902364.9093000004</v>
      </c>
      <c r="BS16" s="1">
        <f t="shared" si="15"/>
        <v>782978.53961354948</v>
      </c>
      <c r="BT16" s="1">
        <f>VLOOKUP($A16,'CAPEX - PAN'!$A$3:$X$21,24,FALSE)</f>
        <v>0</v>
      </c>
      <c r="BU16" s="1">
        <f>VLOOKUP($A16,'OPEX - PAN'!$A$3:$X$23,24,FALSE)</f>
        <v>4051655.0258999998</v>
      </c>
      <c r="BV16" s="1">
        <f>VLOOKUP($A16,'RECEITAS - PAN'!$A$3:$X$23,24,FALSE)</f>
        <v>5017852.8054999998</v>
      </c>
      <c r="BW16" s="1">
        <f t="shared" si="16"/>
        <v>966197.77960000001</v>
      </c>
      <c r="BX16" s="1">
        <f>VLOOKUP($A16,'CAPEX - PAN'!$A$3:$Y$21,25,FALSE)</f>
        <v>283378.53548645083</v>
      </c>
      <c r="BY16" s="1">
        <f>VLOOKUP($A16,'OPEX - PAN'!$A$3:$Y$23,25,FALSE)</f>
        <v>4061530.2618</v>
      </c>
      <c r="BZ16" s="1">
        <f>VLOOKUP($A16,'RECEITAS - PAN'!$A$3:$Y$23,25,FALSE)</f>
        <v>5141293.2540999996</v>
      </c>
      <c r="CA16" s="1">
        <f t="shared" si="17"/>
        <v>796384.45681354869</v>
      </c>
      <c r="CB16" s="1">
        <f>VLOOKUP($A16,'CAPEX - PAN'!$A$3:$Z$21,26,FALSE)</f>
        <v>0</v>
      </c>
      <c r="CC16" s="1">
        <f>VLOOKUP($A16,'OPEX - PAN'!$A$3:$Z$23,26,FALSE)</f>
        <v>4070886.7769999998</v>
      </c>
      <c r="CD16" s="1">
        <f>VLOOKUP($A16,'RECEITAS - PAN'!$A$3:$Z$23,26,FALSE)</f>
        <v>5258249.6937999995</v>
      </c>
      <c r="CE16" s="1">
        <f t="shared" si="18"/>
        <v>1187362.9167999998</v>
      </c>
      <c r="CF16" s="1">
        <f>VLOOKUP($A16,'CAPEX - PAN'!$A$3:$AA$21,27,FALSE)</f>
        <v>7496167.5354864514</v>
      </c>
      <c r="CG16" s="1">
        <f>VLOOKUP($A16,'OPEX - PAN'!$A$3:$AA$23,27,FALSE)</f>
        <v>4080362.87</v>
      </c>
      <c r="CH16" s="1">
        <f>VLOOKUP($A16,'RECEITAS - PAN'!$A$3:$AA$23,27,FALSE)</f>
        <v>5376700.8562000003</v>
      </c>
      <c r="CI16" s="1">
        <f t="shared" si="19"/>
        <v>-6199829.5492864512</v>
      </c>
      <c r="CJ16" s="1">
        <f>VLOOKUP($A16,'CAPEX - PAN'!$A$3:$AB$21,28,FALSE)</f>
        <v>0</v>
      </c>
      <c r="CK16" s="1">
        <f>VLOOKUP($A16,'OPEX - PAN'!$A$3:$AB$23,28,FALSE)</f>
        <v>4090235.5488</v>
      </c>
      <c r="CL16" s="1">
        <f>VLOOKUP($A16,'RECEITAS - PAN'!$A$3:$AB$23,28,FALSE)</f>
        <v>5500109.3417999996</v>
      </c>
      <c r="CM16" s="1">
        <f t="shared" si="20"/>
        <v>1409873.7929999996</v>
      </c>
      <c r="CN16" s="1">
        <f>VLOOKUP($A16,'CAPEX - PAN'!$A$3:$AC$21,29,FALSE)</f>
        <v>76970.375486450852</v>
      </c>
      <c r="CO16" s="1">
        <f>VLOOKUP($A16,'OPEX - PAN'!$A$3:$AC$23,29,FALSE)</f>
        <v>4098996.9497000002</v>
      </c>
      <c r="CP16" s="1">
        <f>VLOOKUP($A16,'RECEITAS - PAN'!$A$3:$AC$23,29,FALSE)</f>
        <v>5609626.8531999998</v>
      </c>
      <c r="CQ16" s="1">
        <f t="shared" si="21"/>
        <v>1433659.5280135488</v>
      </c>
      <c r="CR16" s="1">
        <f>VLOOKUP($A16,'CAPEX - PAN'!$A$3:$AD$21,30,FALSE)</f>
        <v>0</v>
      </c>
      <c r="CS16" s="1">
        <f>VLOOKUP($A16,'OPEX - PAN'!$A$3:$AD$23,30,FALSE)</f>
        <v>4108177.0890000002</v>
      </c>
      <c r="CT16" s="1">
        <f>VLOOKUP($A16,'RECEITAS - PAN'!$A$3:$AD$23,30,FALSE)</f>
        <v>5724378.5941000003</v>
      </c>
      <c r="CU16" s="1">
        <f t="shared" si="22"/>
        <v>1616201.5051000002</v>
      </c>
      <c r="CV16" s="1">
        <f>VLOOKUP($A16,'CAPEX - PAN'!$A$3:$AE$21,31,FALSE)</f>
        <v>76970.375486450852</v>
      </c>
      <c r="CW16" s="1">
        <f>VLOOKUP($A16,'OPEX - PAN'!$A$3:$AE$23,31,FALSE)</f>
        <v>4117058.8352999999</v>
      </c>
      <c r="CX16" s="1">
        <f>VLOOKUP($A16,'RECEITAS - PAN'!$A$3:$AE$23,31,FALSE)</f>
        <v>5835400.4227999998</v>
      </c>
      <c r="CY16" s="1">
        <f t="shared" si="23"/>
        <v>1641371.2120135492</v>
      </c>
      <c r="CZ16" s="1">
        <f>VLOOKUP($A16,'CAPEX - PAN'!$A$3:$AF$21,32,FALSE)</f>
        <v>206408.15999999997</v>
      </c>
      <c r="DA16" s="1">
        <f>VLOOKUP($A16,'OPEX - PAN'!$A$3:$AF$23,32,FALSE)</f>
        <v>4125880.0208999999</v>
      </c>
      <c r="DB16" s="1">
        <f>VLOOKUP($A16,'RECEITAS - PAN'!$A$3:$AF$23,32,FALSE)</f>
        <v>5945665.2434</v>
      </c>
      <c r="DC16" s="1">
        <f t="shared" si="24"/>
        <v>1613377.0625000002</v>
      </c>
      <c r="DD16" s="1">
        <f>VLOOKUP($A16,'CAPEX - PAN'!$A$3:$AG$21,33,FALSE)</f>
        <v>76970.375486450852</v>
      </c>
      <c r="DE16" s="1">
        <f>VLOOKUP($A16,'OPEX - PAN'!$A$3:$AG$23,33,FALSE)</f>
        <v>4134836.3243</v>
      </c>
      <c r="DF16" s="1">
        <f>VLOOKUP($A16,'RECEITAS - PAN'!$A$3:$AG$23,33,FALSE)</f>
        <v>6057619.0351</v>
      </c>
      <c r="DG16" s="1">
        <f t="shared" si="25"/>
        <v>1845812.3353135493</v>
      </c>
      <c r="DH16" s="1">
        <f>VLOOKUP($A16,'CAPEX - PAN'!$A$3:$AH$21,34,FALSE)</f>
        <v>0</v>
      </c>
      <c r="DI16" s="1">
        <f>VLOOKUP($A16,'OPEX - PAN'!$A$3:$AH$23,34,FALSE)</f>
        <v>4143936.7853999999</v>
      </c>
      <c r="DJ16" s="1">
        <f>VLOOKUP($A16,'RECEITAS - PAN'!$A$3:$AH$23,34,FALSE)</f>
        <v>6171374.7994999997</v>
      </c>
      <c r="DK16" s="1">
        <f t="shared" si="26"/>
        <v>2027438.0140999998</v>
      </c>
      <c r="DL16" s="1">
        <f>VLOOKUP($A16,'CAPEX - PAN'!$A$3:$AI$21,35,FALSE)</f>
        <v>283378.53548645083</v>
      </c>
      <c r="DM16" s="1">
        <f>VLOOKUP($A16,'OPEX - PAN'!$A$3:$AI$23,35,FALSE)</f>
        <v>4153217.5639999998</v>
      </c>
      <c r="DN16" s="1">
        <f>VLOOKUP($A16,'RECEITAS - PAN'!$A$3:$AI$23,35,FALSE)</f>
        <v>6287384.5323999999</v>
      </c>
      <c r="DO16" s="1">
        <f t="shared" si="27"/>
        <v>1850788.4329135492</v>
      </c>
      <c r="DP16" s="1">
        <f>VLOOKUP($A16,'CAPEX - PAN'!$A$3:$AJ$21,36,FALSE)</f>
        <v>0</v>
      </c>
      <c r="DQ16" s="1">
        <f>VLOOKUP($A16,'OPEX - PAN'!$A$3:$AJ$23,36,FALSE)</f>
        <v>4165931.1791563518</v>
      </c>
      <c r="DR16" s="1">
        <f>VLOOKUP($A16,'RECEITAS - PAN'!$A$3:$AJ$23,36,FALSE)</f>
        <v>6446304.7212055624</v>
      </c>
      <c r="DS16" s="1">
        <f t="shared" si="28"/>
        <v>2280373.5420492105</v>
      </c>
      <c r="DT16" s="1">
        <f>VLOOKUP($A16,'CAPEX - PAN'!$A$3:$AK$21,37,FALSE)</f>
        <v>76970.375486450852</v>
      </c>
      <c r="DU16" s="1">
        <f>VLOOKUP($A16,'OPEX - PAN'!$A$3:$AK$23,37,FALSE)</f>
        <v>4174672.58055567</v>
      </c>
      <c r="DV16" s="1">
        <f>VLOOKUP($A16,'RECEITAS - PAN'!$A$3:$AK$23,37,FALSE)</f>
        <v>6555572.2387119234</v>
      </c>
      <c r="DW16" s="1">
        <f t="shared" si="29"/>
        <v>2303929.2826698027</v>
      </c>
      <c r="DX16" s="12">
        <f t="shared" si="30"/>
        <v>58081778.822296739</v>
      </c>
      <c r="DY16" s="12">
        <f t="shared" si="31"/>
        <v>121098399.23721203</v>
      </c>
      <c r="DZ16" s="12">
        <f t="shared" si="32"/>
        <v>140190067.37246752</v>
      </c>
      <c r="EA16" s="12">
        <f t="shared" si="33"/>
        <v>-38990110.687041305</v>
      </c>
      <c r="EB16" s="3">
        <f>VLOOKUP(A16,'CAPEX - PAN'!$A$3:$AN$21,40,FALSE)</f>
        <v>3</v>
      </c>
      <c r="EC16" s="3">
        <f>VLOOKUP(A16,'BASE PAN - CAPEX'!$A$3:$H$22,8,FALSE)</f>
        <v>3</v>
      </c>
      <c r="ED16" s="63">
        <f t="shared" si="34"/>
        <v>-54546029.53825517</v>
      </c>
    </row>
    <row r="17" spans="1:134" x14ac:dyDescent="0.25">
      <c r="A17" t="s">
        <v>91</v>
      </c>
      <c r="B17" s="4" t="s">
        <v>132</v>
      </c>
      <c r="C17">
        <v>510677</v>
      </c>
      <c r="D17" t="s">
        <v>137</v>
      </c>
      <c r="E17" t="str">
        <f>VLOOKUP(A17,'BASE PAN - CAPEX'!$A$3:$D$22,4,FALSE)</f>
        <v>Porto Alegre do Norte</v>
      </c>
      <c r="F17" t="s">
        <v>32</v>
      </c>
      <c r="G17" t="s">
        <v>28</v>
      </c>
      <c r="H17" s="1">
        <f>VLOOKUP($A17,'CAPEX - PAN'!$A$3:$H$23,8,FALSE)</f>
        <v>8907610.7100000009</v>
      </c>
      <c r="I17" s="1">
        <f>VLOOKUP($A17,'OPEX - PAN'!$A$3:$H$23,8,FALSE)</f>
        <v>1122254.3543</v>
      </c>
      <c r="J17" s="1">
        <f>VLOOKUP($A17,'RECEITAS - PAN'!$A$3:$H$23,8,FALSE)</f>
        <v>39474.434099999999</v>
      </c>
      <c r="K17" s="1">
        <f t="shared" si="0"/>
        <v>-9990390.6302000005</v>
      </c>
      <c r="L17" s="1">
        <f>VLOOKUP($A17,'CAPEX - PAN'!$A$3:$I$21,9,FALSE)</f>
        <v>3280000</v>
      </c>
      <c r="M17" s="1">
        <f>VLOOKUP($A17,'OPEX - PAN'!$A$3:$I$23,9,FALSE)</f>
        <v>1122262.0016999999</v>
      </c>
      <c r="N17" s="1">
        <f>VLOOKUP($A17,'RECEITAS - PAN'!$A$3:$I$23,9,FALSE)</f>
        <v>39516.919849999998</v>
      </c>
      <c r="O17" s="1">
        <f t="shared" si="35"/>
        <v>-4362745.0818499997</v>
      </c>
      <c r="P17" s="1">
        <f>VLOOKUP($A17,'CAPEX - PAN'!$A$3:$J$21,10,FALSE)</f>
        <v>3280000</v>
      </c>
      <c r="Q17" s="1">
        <f>VLOOKUP($A17,'OPEX - PAN'!$A$3:$J$23,10,FALSE)</f>
        <v>1122267.1000000001</v>
      </c>
      <c r="R17" s="1">
        <f>VLOOKUP($A17,'RECEITAS - PAN'!$A$3:$J$23,10,FALSE)</f>
        <v>39545.243699999999</v>
      </c>
      <c r="S17" s="1">
        <f t="shared" si="2"/>
        <v>-4362721.8563000001</v>
      </c>
      <c r="T17" s="1">
        <f>VLOOKUP($A17,'CAPEX - PAN'!$A$3:$K$21,11,FALSE)</f>
        <v>0</v>
      </c>
      <c r="U17" s="1">
        <f>VLOOKUP($A17,'OPEX - PAN'!$A$3:$K$23,11,FALSE)</f>
        <v>1122274.7475000001</v>
      </c>
      <c r="V17" s="1">
        <f>VLOOKUP($A17,'RECEITAS - PAN'!$A$3:$K$23,11,FALSE)</f>
        <v>79175.458899999998</v>
      </c>
      <c r="W17" s="1">
        <f t="shared" si="3"/>
        <v>-1043099.2886000001</v>
      </c>
      <c r="X17" s="1">
        <f>VLOOKUP($A17,'CAPEX - PAN'!$A$3:$L$21,12,FALSE)</f>
        <v>81241.56</v>
      </c>
      <c r="Y17" s="1">
        <f>VLOOKUP($A17,'OPEX - PAN'!$A$3:$L$23,12,FALSE)</f>
        <v>1122282.3949</v>
      </c>
      <c r="Z17" s="1">
        <f>VLOOKUP($A17,'RECEITAS - PAN'!$A$3:$L$23,12,FALSE)</f>
        <v>79260.430399999997</v>
      </c>
      <c r="AA17" s="1">
        <f t="shared" si="4"/>
        <v>-1124263.5245000001</v>
      </c>
      <c r="AB17" s="1">
        <f>VLOOKUP($A17,'CAPEX - PAN'!$A$3:$M$21,13,FALSE)</f>
        <v>0</v>
      </c>
      <c r="AC17" s="1">
        <f>VLOOKUP($A17,'OPEX - PAN'!$A$3:$M$23,13,FALSE)</f>
        <v>1122290.0423000001</v>
      </c>
      <c r="AD17" s="1">
        <f>VLOOKUP($A17,'RECEITAS - PAN'!$A$3:$M$23,13,FALSE)</f>
        <v>79345.401899999997</v>
      </c>
      <c r="AE17" s="1">
        <f t="shared" si="5"/>
        <v>-1042944.6404000001</v>
      </c>
      <c r="AF17" s="1">
        <f>VLOOKUP($A17,'CAPEX - PAN'!$A$3:$N$21,14,FALSE)</f>
        <v>0</v>
      </c>
      <c r="AG17" s="1">
        <f>VLOOKUP($A17,'OPEX - PAN'!$A$3:$N$23,14,FALSE)</f>
        <v>1122295.1406</v>
      </c>
      <c r="AH17" s="1">
        <f>VLOOKUP($A17,'RECEITAS - PAN'!$A$3:$N$23,14,FALSE)</f>
        <v>79402.049599999998</v>
      </c>
      <c r="AI17" s="1">
        <f t="shared" si="6"/>
        <v>-1042893.091</v>
      </c>
      <c r="AJ17" s="1">
        <f>VLOOKUP($A17,'CAPEX - PAN'!$A$3:$O$21,15,FALSE)</f>
        <v>81241.56</v>
      </c>
      <c r="AK17" s="1">
        <f>VLOOKUP($A17,'OPEX - PAN'!$A$3:$O$23,15,FALSE)</f>
        <v>1122302.7881</v>
      </c>
      <c r="AL17" s="1">
        <f>VLOOKUP($A17,'RECEITAS - PAN'!$A$3:$O$23,15,FALSE)</f>
        <v>79487.021099999998</v>
      </c>
      <c r="AM17" s="1">
        <f t="shared" si="7"/>
        <v>-1124057.327</v>
      </c>
      <c r="AN17" s="1">
        <f>VLOOKUP($A17,'CAPEX - PAN'!$A$3:$P$21,16,FALSE)</f>
        <v>0</v>
      </c>
      <c r="AO17" s="1">
        <f>VLOOKUP($A17,'OPEX - PAN'!$A$3:$P$23,16,FALSE)</f>
        <v>1122310.4354999999</v>
      </c>
      <c r="AP17" s="1">
        <f>VLOOKUP($A17,'RECEITAS - PAN'!$A$3:$P$23,16,FALSE)</f>
        <v>79571.992599999998</v>
      </c>
      <c r="AQ17" s="1">
        <f t="shared" si="8"/>
        <v>-1042738.4428999999</v>
      </c>
      <c r="AR17" s="1">
        <f>VLOOKUP($A17,'CAPEX - PAN'!$A$3:$Q$21,17,FALSE)</f>
        <v>3749720.46</v>
      </c>
      <c r="AS17" s="1">
        <f>VLOOKUP($A17,'OPEX - PAN'!$A$3:$Q$23,17,FALSE)</f>
        <v>1122318.0829</v>
      </c>
      <c r="AT17" s="1">
        <f>VLOOKUP($A17,'RECEITAS - PAN'!$A$3:$Q$23,17,FALSE)</f>
        <v>79656.964099999997</v>
      </c>
      <c r="AU17" s="1">
        <f t="shared" si="9"/>
        <v>-4792381.5788000003</v>
      </c>
      <c r="AV17" s="1">
        <f>VLOOKUP($A17,'CAPEX - PAN'!$A$3:$R$21,18,FALSE)</f>
        <v>0</v>
      </c>
      <c r="AW17" s="1">
        <f>VLOOKUP($A17,'OPEX - PAN'!$A$3:$R$23,18,FALSE)</f>
        <v>1122325.7304</v>
      </c>
      <c r="AX17" s="1">
        <f>VLOOKUP($A17,'RECEITAS - PAN'!$A$3:$R$23,18,FALSE)</f>
        <v>79741.935700000002</v>
      </c>
      <c r="AY17" s="1">
        <f t="shared" si="10"/>
        <v>-1042583.7947</v>
      </c>
      <c r="AZ17" s="1">
        <f>VLOOKUP($A17,'CAPEX - PAN'!$A$3:$S$21,19,FALSE)</f>
        <v>0</v>
      </c>
      <c r="BA17" s="1">
        <f>VLOOKUP($A17,'OPEX - PAN'!$A$3:$S$23,19,FALSE)</f>
        <v>1122330.8287</v>
      </c>
      <c r="BB17" s="1">
        <f>VLOOKUP($A17,'RECEITAS - PAN'!$A$3:$S$23,19,FALSE)</f>
        <v>79798.583299999998</v>
      </c>
      <c r="BC17" s="1">
        <f t="shared" si="11"/>
        <v>-1042532.2453999999</v>
      </c>
      <c r="BD17" s="1">
        <f>VLOOKUP($A17,'CAPEX - PAN'!$A$3:$T$21,20,FALSE)</f>
        <v>0</v>
      </c>
      <c r="BE17" s="1">
        <f>VLOOKUP($A17,'OPEX - PAN'!$A$3:$T$23,20,FALSE)</f>
        <v>1122338.4761000001</v>
      </c>
      <c r="BF17" s="1">
        <f>VLOOKUP($A17,'RECEITAS - PAN'!$A$3:$T$23,20,FALSE)</f>
        <v>79883.554799999998</v>
      </c>
      <c r="BG17" s="1">
        <f t="shared" si="12"/>
        <v>-1042454.9213</v>
      </c>
      <c r="BH17" s="1">
        <f>VLOOKUP($A17,'CAPEX - PAN'!$A$3:$U$21,21,FALSE)</f>
        <v>0</v>
      </c>
      <c r="BI17" s="1">
        <f>VLOOKUP($A17,'OPEX - PAN'!$A$3:$U$23,21,FALSE)</f>
        <v>1122346.1235</v>
      </c>
      <c r="BJ17" s="1">
        <f>VLOOKUP($A17,'RECEITAS - PAN'!$A$3:$U$23,21,FALSE)</f>
        <v>79968.526400000002</v>
      </c>
      <c r="BK17" s="1">
        <f t="shared" si="13"/>
        <v>-1042377.5971</v>
      </c>
      <c r="BL17" s="1">
        <f>VLOOKUP($A17,'CAPEX - PAN'!$A$3:$V$21,22,FALSE)</f>
        <v>1938813.98</v>
      </c>
      <c r="BM17" s="1">
        <f>VLOOKUP($A17,'OPEX - PAN'!$A$3:$V$23,22,FALSE)</f>
        <v>1122353.7709999999</v>
      </c>
      <c r="BN17" s="1">
        <f>VLOOKUP($A17,'RECEITAS - PAN'!$A$3:$V$23,22,FALSE)</f>
        <v>80053.497900000002</v>
      </c>
      <c r="BO17" s="1">
        <f t="shared" si="14"/>
        <v>-2981114.2530999999</v>
      </c>
      <c r="BP17" s="1">
        <f>VLOOKUP($A17,'CAPEX - PAN'!$A$3:$W$21,23,FALSE)</f>
        <v>0</v>
      </c>
      <c r="BQ17" s="1">
        <f>VLOOKUP($A17,'OPEX - PAN'!$A$3:$W$23,23,FALSE)</f>
        <v>1122361.4184000001</v>
      </c>
      <c r="BR17" s="1">
        <f>VLOOKUP($A17,'RECEITAS - PAN'!$A$3:$W$23,23,FALSE)</f>
        <v>80138.469400000002</v>
      </c>
      <c r="BS17" s="1">
        <f t="shared" si="15"/>
        <v>-1042222.949</v>
      </c>
      <c r="BT17" s="1">
        <f>VLOOKUP($A17,'CAPEX - PAN'!$A$3:$X$21,24,FALSE)</f>
        <v>0</v>
      </c>
      <c r="BU17" s="1">
        <f>VLOOKUP($A17,'OPEX - PAN'!$A$3:$X$23,24,FALSE)</f>
        <v>1122369.0658</v>
      </c>
      <c r="BV17" s="1">
        <f>VLOOKUP($A17,'RECEITAS - PAN'!$A$3:$X$23,24,FALSE)</f>
        <v>80223.440900000001</v>
      </c>
      <c r="BW17" s="1">
        <f t="shared" si="16"/>
        <v>-1042145.6248999999</v>
      </c>
      <c r="BX17" s="1">
        <f>VLOOKUP($A17,'CAPEX - PAN'!$A$3:$Y$21,25,FALSE)</f>
        <v>81241.56</v>
      </c>
      <c r="BY17" s="1">
        <f>VLOOKUP($A17,'OPEX - PAN'!$A$3:$Y$23,25,FALSE)</f>
        <v>1122376.7132999999</v>
      </c>
      <c r="BZ17" s="1">
        <f>VLOOKUP($A17,'RECEITAS - PAN'!$A$3:$Y$23,25,FALSE)</f>
        <v>80308.412400000001</v>
      </c>
      <c r="CA17" s="1">
        <f t="shared" si="17"/>
        <v>-1123309.8609</v>
      </c>
      <c r="CB17" s="1">
        <f>VLOOKUP($A17,'CAPEX - PAN'!$A$3:$Z$21,26,FALSE)</f>
        <v>0</v>
      </c>
      <c r="CC17" s="1">
        <f>VLOOKUP($A17,'OPEX - PAN'!$A$3:$Z$23,26,FALSE)</f>
        <v>1122384.3607000001</v>
      </c>
      <c r="CD17" s="1">
        <f>VLOOKUP($A17,'RECEITAS - PAN'!$A$3:$Z$23,26,FALSE)</f>
        <v>80393.383900000001</v>
      </c>
      <c r="CE17" s="1">
        <f t="shared" si="18"/>
        <v>-1041990.9768000001</v>
      </c>
      <c r="CF17" s="1">
        <f>VLOOKUP($A17,'CAPEX - PAN'!$A$3:$AA$21,27,FALSE)</f>
        <v>3749720.46</v>
      </c>
      <c r="CG17" s="1">
        <f>VLOOKUP($A17,'OPEX - PAN'!$A$3:$AA$23,27,FALSE)</f>
        <v>1122392.0081</v>
      </c>
      <c r="CH17" s="1">
        <f>VLOOKUP($A17,'RECEITAS - PAN'!$A$3:$AA$23,27,FALSE)</f>
        <v>80478.3554</v>
      </c>
      <c r="CI17" s="1">
        <f t="shared" si="19"/>
        <v>-4791634.1127000004</v>
      </c>
      <c r="CJ17" s="1">
        <f>VLOOKUP($A17,'CAPEX - PAN'!$A$3:$AB$21,28,FALSE)</f>
        <v>0</v>
      </c>
      <c r="CK17" s="1">
        <f>VLOOKUP($A17,'OPEX - PAN'!$A$3:$AB$23,28,FALSE)</f>
        <v>1122399.6555999999</v>
      </c>
      <c r="CL17" s="1">
        <f>VLOOKUP($A17,'RECEITAS - PAN'!$A$3:$AB$23,28,FALSE)</f>
        <v>80563.3269</v>
      </c>
      <c r="CM17" s="1">
        <f t="shared" si="20"/>
        <v>-1041836.3287</v>
      </c>
      <c r="CN17" s="1">
        <f>VLOOKUP($A17,'CAPEX - PAN'!$A$3:$AC$21,29,FALSE)</f>
        <v>0</v>
      </c>
      <c r="CO17" s="1">
        <f>VLOOKUP($A17,'OPEX - PAN'!$A$3:$AC$23,29,FALSE)</f>
        <v>1122407.3030000001</v>
      </c>
      <c r="CP17" s="1">
        <f>VLOOKUP($A17,'RECEITAS - PAN'!$A$3:$AC$23,29,FALSE)</f>
        <v>80648.298500000004</v>
      </c>
      <c r="CQ17" s="1">
        <f t="shared" si="21"/>
        <v>-1041759.0045</v>
      </c>
      <c r="CR17" s="1">
        <f>VLOOKUP($A17,'CAPEX - PAN'!$A$3:$AD$21,30,FALSE)</f>
        <v>0</v>
      </c>
      <c r="CS17" s="1">
        <f>VLOOKUP($A17,'OPEX - PAN'!$A$3:$AD$23,30,FALSE)</f>
        <v>1122414.9505</v>
      </c>
      <c r="CT17" s="1">
        <f>VLOOKUP($A17,'RECEITAS - PAN'!$A$3:$AD$23,30,FALSE)</f>
        <v>80733.27</v>
      </c>
      <c r="CU17" s="1">
        <f t="shared" si="22"/>
        <v>-1041681.6805</v>
      </c>
      <c r="CV17" s="1">
        <f>VLOOKUP($A17,'CAPEX - PAN'!$A$3:$AE$21,31,FALSE)</f>
        <v>0</v>
      </c>
      <c r="CW17" s="1">
        <f>VLOOKUP($A17,'OPEX - PAN'!$A$3:$AE$23,31,FALSE)</f>
        <v>1122422.5978999999</v>
      </c>
      <c r="CX17" s="1">
        <f>VLOOKUP($A17,'RECEITAS - PAN'!$A$3:$AE$23,31,FALSE)</f>
        <v>80818.241500000004</v>
      </c>
      <c r="CY17" s="1">
        <f t="shared" si="23"/>
        <v>-1041604.3563999999</v>
      </c>
      <c r="CZ17" s="1">
        <f>VLOOKUP($A17,'CAPEX - PAN'!$A$3:$AF$21,32,FALSE)</f>
        <v>81241.56</v>
      </c>
      <c r="DA17" s="1">
        <f>VLOOKUP($A17,'OPEX - PAN'!$A$3:$AF$23,32,FALSE)</f>
        <v>1122430.2453000001</v>
      </c>
      <c r="DB17" s="1">
        <f>VLOOKUP($A17,'RECEITAS - PAN'!$A$3:$AF$23,32,FALSE)</f>
        <v>80903.213000000003</v>
      </c>
      <c r="DC17" s="1">
        <f t="shared" si="24"/>
        <v>-1122768.5923000001</v>
      </c>
      <c r="DD17" s="1">
        <f>VLOOKUP($A17,'CAPEX - PAN'!$A$3:$AG$21,33,FALSE)</f>
        <v>0</v>
      </c>
      <c r="DE17" s="1">
        <f>VLOOKUP($A17,'OPEX - PAN'!$A$3:$AG$23,33,FALSE)</f>
        <v>1122437.8928</v>
      </c>
      <c r="DF17" s="1">
        <f>VLOOKUP($A17,'RECEITAS - PAN'!$A$3:$AG$23,33,FALSE)</f>
        <v>80988.184500000003</v>
      </c>
      <c r="DG17" s="1">
        <f t="shared" si="25"/>
        <v>-1041449.7083000001</v>
      </c>
      <c r="DH17" s="1">
        <f>VLOOKUP($A17,'CAPEX - PAN'!$A$3:$AH$21,34,FALSE)</f>
        <v>0</v>
      </c>
      <c r="DI17" s="1">
        <f>VLOOKUP($A17,'OPEX - PAN'!$A$3:$AH$23,34,FALSE)</f>
        <v>1122445.5401999999</v>
      </c>
      <c r="DJ17" s="1">
        <f>VLOOKUP($A17,'RECEITAS - PAN'!$A$3:$AH$23,34,FALSE)</f>
        <v>81073.156000000003</v>
      </c>
      <c r="DK17" s="1">
        <f t="shared" si="26"/>
        <v>-1041372.3842</v>
      </c>
      <c r="DL17" s="1">
        <f>VLOOKUP($A17,'CAPEX - PAN'!$A$3:$AI$21,35,FALSE)</f>
        <v>81241.56</v>
      </c>
      <c r="DM17" s="1">
        <f>VLOOKUP($A17,'OPEX - PAN'!$A$3:$AI$23,35,FALSE)</f>
        <v>1122454.6710000001</v>
      </c>
      <c r="DN17" s="1">
        <f>VLOOKUP($A17,'RECEITAS - PAN'!$A$3:$AI$23,35,FALSE)</f>
        <v>81174.609200000006</v>
      </c>
      <c r="DO17" s="1">
        <f t="shared" si="27"/>
        <v>-1122521.6218000001</v>
      </c>
      <c r="DP17" s="1">
        <f>VLOOKUP($A17,'CAPEX - PAN'!$A$3:$AJ$21,36,FALSE)</f>
        <v>0</v>
      </c>
      <c r="DQ17" s="1">
        <f>VLOOKUP($A17,'OPEX - PAN'!$A$3:$AJ$23,36,FALSE)</f>
        <v>1122459.0238547619</v>
      </c>
      <c r="DR17" s="1">
        <f>VLOOKUP($A17,'RECEITAS - PAN'!$A$3:$AJ$23,36,FALSE)</f>
        <v>81222.974337301581</v>
      </c>
      <c r="DS17" s="1">
        <f t="shared" si="28"/>
        <v>-1041236.0495174603</v>
      </c>
      <c r="DT17" s="1">
        <f>VLOOKUP($A17,'CAPEX - PAN'!$A$3:$AK$21,37,FALSE)</f>
        <v>0</v>
      </c>
      <c r="DU17" s="1">
        <f>VLOOKUP($A17,'OPEX - PAN'!$A$3:$AK$23,37,FALSE)</f>
        <v>1122466.6233173469</v>
      </c>
      <c r="DV17" s="1">
        <f>VLOOKUP($A17,'RECEITAS - PAN'!$A$3:$AK$23,37,FALSE)</f>
        <v>81307.412801360551</v>
      </c>
      <c r="DW17" s="1">
        <f t="shared" si="29"/>
        <v>-1041159.2105159863</v>
      </c>
      <c r="DX17" s="12">
        <f t="shared" si="30"/>
        <v>25312073.41</v>
      </c>
      <c r="DY17" s="12">
        <f t="shared" si="31"/>
        <v>33670774.087272108</v>
      </c>
      <c r="DZ17" s="12">
        <f t="shared" si="32"/>
        <v>2284856.7630886626</v>
      </c>
      <c r="EA17" s="12">
        <f t="shared" si="33"/>
        <v>-56697990.734183446</v>
      </c>
      <c r="EB17" s="3">
        <f>VLOOKUP(A17,'CAPEX - PAN'!$A$3:$AN$21,40,FALSE)</f>
        <v>0</v>
      </c>
      <c r="EC17" s="3">
        <f>VLOOKUP(A17,'BASE PAN - CAPEX'!$A$3:$H$22,8,FALSE)</f>
        <v>0</v>
      </c>
      <c r="ED17" s="63">
        <f t="shared" si="34"/>
        <v>-37079298.273150004</v>
      </c>
    </row>
    <row r="18" spans="1:134" s="17" customFormat="1" x14ac:dyDescent="0.25">
      <c r="A18" s="17" t="s">
        <v>154</v>
      </c>
      <c r="B18" s="30" t="s">
        <v>155</v>
      </c>
      <c r="C18" s="17">
        <v>260110</v>
      </c>
      <c r="D18" s="17" t="s">
        <v>156</v>
      </c>
      <c r="E18" s="17" t="s">
        <v>155</v>
      </c>
      <c r="F18" s="17" t="s">
        <v>31</v>
      </c>
      <c r="G18" s="17" t="s">
        <v>28</v>
      </c>
      <c r="H18" s="1">
        <f>VLOOKUP($A18,'CAPEX - PAN'!$A$3:$H$23,8,FALSE)</f>
        <v>7031459.1700000009</v>
      </c>
      <c r="I18" s="1">
        <f>VLOOKUP($A18,'OPEX - PAN'!$A$3:$H$23,8,FALSE)</f>
        <v>1331907.3647</v>
      </c>
      <c r="J18" s="1">
        <f>VLOOKUP($A18,'RECEITAS - PAN'!$A$3:$H$23,8,FALSE)</f>
        <v>39474.434099999999</v>
      </c>
      <c r="K18" s="1">
        <f t="shared" si="0"/>
        <v>-8323892.1006000005</v>
      </c>
      <c r="L18" s="1">
        <f>VLOOKUP($A18,'CAPEX - PAN'!$A$3:$I$21,9,FALSE)</f>
        <v>1344000</v>
      </c>
      <c r="M18" s="1">
        <f>VLOOKUP($A18,'OPEX - PAN'!$A$3:$I$23,9,FALSE)</f>
        <v>1331922.6595999999</v>
      </c>
      <c r="N18" s="1">
        <f>VLOOKUP($A18,'RECEITAS - PAN'!$A$3:$I$23,9,FALSE)</f>
        <v>39559.405599999998</v>
      </c>
      <c r="O18" s="1">
        <f t="shared" si="35"/>
        <v>-2636363.2539999997</v>
      </c>
      <c r="P18" s="1">
        <f>VLOOKUP($A18,'CAPEX - PAN'!$A$3:$J$21,10,FALSE)</f>
        <v>1344000</v>
      </c>
      <c r="Q18" s="1">
        <f>VLOOKUP($A18,'OPEX - PAN'!$A$3:$J$23,10,FALSE)</f>
        <v>1331940.5035999999</v>
      </c>
      <c r="R18" s="1">
        <f>VLOOKUP($A18,'RECEITAS - PAN'!$A$3:$J$23,10,FALSE)</f>
        <v>39658.539049999999</v>
      </c>
      <c r="S18" s="1">
        <f t="shared" si="2"/>
        <v>-2636281.9645499997</v>
      </c>
      <c r="T18" s="1">
        <f>VLOOKUP($A18,'CAPEX - PAN'!$A$3:$K$21,11,FALSE)</f>
        <v>0</v>
      </c>
      <c r="U18" s="1">
        <f>VLOOKUP($A18,'OPEX - PAN'!$A$3:$K$23,11,FALSE)</f>
        <v>1331958.3476</v>
      </c>
      <c r="V18" s="1">
        <f>VLOOKUP($A18,'RECEITAS - PAN'!$A$3:$K$23,11,FALSE)</f>
        <v>79515.345000000001</v>
      </c>
      <c r="W18" s="1">
        <f t="shared" si="3"/>
        <v>-1252443.0026</v>
      </c>
      <c r="X18" s="1">
        <f>VLOOKUP($A18,'CAPEX - PAN'!$A$3:$L$21,12,FALSE)</f>
        <v>68451.08</v>
      </c>
      <c r="Y18" s="1">
        <f>VLOOKUP($A18,'OPEX - PAN'!$A$3:$L$23,12,FALSE)</f>
        <v>1331973.6425000001</v>
      </c>
      <c r="Z18" s="1">
        <f>VLOOKUP($A18,'RECEITAS - PAN'!$A$3:$L$23,12,FALSE)</f>
        <v>79685.288</v>
      </c>
      <c r="AA18" s="1">
        <f t="shared" si="4"/>
        <v>-1320739.4345000002</v>
      </c>
      <c r="AB18" s="1">
        <f>VLOOKUP($A18,'CAPEX - PAN'!$A$3:$M$21,13,FALSE)</f>
        <v>0</v>
      </c>
      <c r="AC18" s="1">
        <f>VLOOKUP($A18,'OPEX - PAN'!$A$3:$M$23,13,FALSE)</f>
        <v>1331991.4865000001</v>
      </c>
      <c r="AD18" s="1">
        <f>VLOOKUP($A18,'RECEITAS - PAN'!$A$3:$M$23,13,FALSE)</f>
        <v>79883.554799999998</v>
      </c>
      <c r="AE18" s="1">
        <f t="shared" si="5"/>
        <v>-1252107.9317000001</v>
      </c>
      <c r="AF18" s="1">
        <f>VLOOKUP($A18,'CAPEX - PAN'!$A$3:$N$21,14,FALSE)</f>
        <v>0</v>
      </c>
      <c r="AG18" s="1">
        <f>VLOOKUP($A18,'OPEX - PAN'!$A$3:$N$23,14,FALSE)</f>
        <v>1332009.3304999999</v>
      </c>
      <c r="AH18" s="1">
        <f>VLOOKUP($A18,'RECEITAS - PAN'!$A$3:$N$23,14,FALSE)</f>
        <v>80081.8217</v>
      </c>
      <c r="AI18" s="1">
        <f t="shared" si="6"/>
        <v>-1251927.5088</v>
      </c>
      <c r="AJ18" s="1">
        <f>VLOOKUP($A18,'CAPEX - PAN'!$A$3:$O$21,15,FALSE)</f>
        <v>68451.08</v>
      </c>
      <c r="AK18" s="1">
        <f>VLOOKUP($A18,'OPEX - PAN'!$A$3:$O$23,15,FALSE)</f>
        <v>1332027.1745</v>
      </c>
      <c r="AL18" s="1">
        <f>VLOOKUP($A18,'RECEITAS - PAN'!$A$3:$O$23,15,FALSE)</f>
        <v>80280.088600000003</v>
      </c>
      <c r="AM18" s="1">
        <f t="shared" si="7"/>
        <v>-1320198.1659000001</v>
      </c>
      <c r="AN18" s="1">
        <f>VLOOKUP($A18,'CAPEX - PAN'!$A$3:$P$21,16,FALSE)</f>
        <v>0</v>
      </c>
      <c r="AO18" s="1">
        <f>VLOOKUP($A18,'OPEX - PAN'!$A$3:$P$23,16,FALSE)</f>
        <v>1332045.0186000001</v>
      </c>
      <c r="AP18" s="1">
        <f>VLOOKUP($A18,'RECEITAS - PAN'!$A$3:$P$23,16,FALSE)</f>
        <v>80478.3554</v>
      </c>
      <c r="AQ18" s="1">
        <f t="shared" si="8"/>
        <v>-1251566.6632000001</v>
      </c>
      <c r="AR18" s="1">
        <f>VLOOKUP($A18,'CAPEX - PAN'!$A$3:$Q$21,17,FALSE)</f>
        <v>3843938.1199999996</v>
      </c>
      <c r="AS18" s="1">
        <f>VLOOKUP($A18,'OPEX - PAN'!$A$3:$Q$23,17,FALSE)</f>
        <v>1332062.8626000001</v>
      </c>
      <c r="AT18" s="1">
        <f>VLOOKUP($A18,'RECEITAS - PAN'!$A$3:$Q$23,17,FALSE)</f>
        <v>80676.622300000003</v>
      </c>
      <c r="AU18" s="1">
        <f t="shared" si="9"/>
        <v>-5095324.3602999998</v>
      </c>
      <c r="AV18" s="1">
        <f>VLOOKUP($A18,'CAPEX - PAN'!$A$3:$R$21,18,FALSE)</f>
        <v>0</v>
      </c>
      <c r="AW18" s="1">
        <f>VLOOKUP($A18,'OPEX - PAN'!$A$3:$R$23,18,FALSE)</f>
        <v>1332080.7065999999</v>
      </c>
      <c r="AX18" s="1">
        <f>VLOOKUP($A18,'RECEITAS - PAN'!$A$3:$R$23,18,FALSE)</f>
        <v>80874.889200000005</v>
      </c>
      <c r="AY18" s="1">
        <f t="shared" si="10"/>
        <v>-1251205.8173999998</v>
      </c>
      <c r="AZ18" s="1">
        <f>VLOOKUP($A18,'CAPEX - PAN'!$A$3:$S$21,19,FALSE)</f>
        <v>0</v>
      </c>
      <c r="BA18" s="1">
        <f>VLOOKUP($A18,'OPEX - PAN'!$A$3:$S$23,19,FALSE)</f>
        <v>1332101.0998</v>
      </c>
      <c r="BB18" s="1">
        <f>VLOOKUP($A18,'RECEITAS - PAN'!$A$3:$S$23,19,FALSE)</f>
        <v>81101.479900000006</v>
      </c>
      <c r="BC18" s="1">
        <f t="shared" si="11"/>
        <v>-1250999.6199</v>
      </c>
      <c r="BD18" s="1">
        <f>VLOOKUP($A18,'CAPEX - PAN'!$A$3:$T$21,20,FALSE)</f>
        <v>0</v>
      </c>
      <c r="BE18" s="1">
        <f>VLOOKUP($A18,'OPEX - PAN'!$A$3:$T$23,20,FALSE)</f>
        <v>1332120.4271</v>
      </c>
      <c r="BF18" s="1">
        <f>VLOOKUP($A18,'RECEITAS - PAN'!$A$3:$T$23,20,FALSE)</f>
        <v>81316.228400000007</v>
      </c>
      <c r="BG18" s="1">
        <f t="shared" si="12"/>
        <v>-1250804.1987000001</v>
      </c>
      <c r="BH18" s="1">
        <f>VLOOKUP($A18,'CAPEX - PAN'!$A$3:$U$21,21,FALSE)</f>
        <v>0</v>
      </c>
      <c r="BI18" s="1">
        <f>VLOOKUP($A18,'OPEX - PAN'!$A$3:$U$23,21,FALSE)</f>
        <v>1332140.8203</v>
      </c>
      <c r="BJ18" s="1">
        <f>VLOOKUP($A18,'RECEITAS - PAN'!$A$3:$U$23,21,FALSE)</f>
        <v>81542.819099999993</v>
      </c>
      <c r="BK18" s="1">
        <f t="shared" si="13"/>
        <v>-1250598.0012000001</v>
      </c>
      <c r="BL18" s="1">
        <f>VLOOKUP($A18,'CAPEX - PAN'!$A$3:$V$21,22,FALSE)</f>
        <v>1911972.13</v>
      </c>
      <c r="BM18" s="1">
        <f>VLOOKUP($A18,'OPEX - PAN'!$A$3:$V$23,22,FALSE)</f>
        <v>1332158.6643000001</v>
      </c>
      <c r="BN18" s="1">
        <f>VLOOKUP($A18,'RECEITAS - PAN'!$A$3:$V$23,22,FALSE)</f>
        <v>81741.085999999996</v>
      </c>
      <c r="BO18" s="1">
        <f t="shared" si="14"/>
        <v>-3162389.7083000001</v>
      </c>
      <c r="BP18" s="1">
        <f>VLOOKUP($A18,'CAPEX - PAN'!$A$3:$W$21,23,FALSE)</f>
        <v>0</v>
      </c>
      <c r="BQ18" s="1">
        <f>VLOOKUP($A18,'OPEX - PAN'!$A$3:$W$23,23,FALSE)</f>
        <v>1332179.0575000001</v>
      </c>
      <c r="BR18" s="1">
        <f>VLOOKUP($A18,'RECEITAS - PAN'!$A$3:$W$23,23,FALSE)</f>
        <v>81967.676699999996</v>
      </c>
      <c r="BS18" s="1">
        <f t="shared" si="15"/>
        <v>-1250211.3808000002</v>
      </c>
      <c r="BT18" s="1">
        <f>VLOOKUP($A18,'CAPEX - PAN'!$A$3:$X$21,24,FALSE)</f>
        <v>0</v>
      </c>
      <c r="BU18" s="1">
        <f>VLOOKUP($A18,'OPEX - PAN'!$A$3:$X$23,24,FALSE)</f>
        <v>1332199.4506000001</v>
      </c>
      <c r="BV18" s="1">
        <f>VLOOKUP($A18,'RECEITAS - PAN'!$A$3:$X$23,24,FALSE)</f>
        <v>82194.267399999997</v>
      </c>
      <c r="BW18" s="1">
        <f t="shared" si="16"/>
        <v>-1250005.1832000001</v>
      </c>
      <c r="BX18" s="1">
        <f>VLOOKUP($A18,'CAPEX - PAN'!$A$3:$Y$21,25,FALSE)</f>
        <v>68451.08</v>
      </c>
      <c r="BY18" s="1">
        <f>VLOOKUP($A18,'OPEX - PAN'!$A$3:$Y$23,25,FALSE)</f>
        <v>1332219.8437999999</v>
      </c>
      <c r="BZ18" s="1">
        <f>VLOOKUP($A18,'RECEITAS - PAN'!$A$3:$Y$23,25,FALSE)</f>
        <v>82420.858099999998</v>
      </c>
      <c r="CA18" s="1">
        <f t="shared" si="17"/>
        <v>-1318250.0656999999</v>
      </c>
      <c r="CB18" s="1">
        <f>VLOOKUP($A18,'CAPEX - PAN'!$A$3:$Z$21,26,FALSE)</f>
        <v>0</v>
      </c>
      <c r="CC18" s="1">
        <f>VLOOKUP($A18,'OPEX - PAN'!$A$3:$Z$23,26,FALSE)</f>
        <v>1332240.237</v>
      </c>
      <c r="CD18" s="1">
        <f>VLOOKUP($A18,'RECEITAS - PAN'!$A$3:$Z$23,26,FALSE)</f>
        <v>82647.448799999998</v>
      </c>
      <c r="CE18" s="1">
        <f t="shared" si="18"/>
        <v>-1249592.7882000001</v>
      </c>
      <c r="CF18" s="1">
        <f>VLOOKUP($A18,'CAPEX - PAN'!$A$3:$AA$21,27,FALSE)</f>
        <v>3843938.1199999996</v>
      </c>
      <c r="CG18" s="1">
        <f>VLOOKUP($A18,'OPEX - PAN'!$A$3:$AA$23,27,FALSE)</f>
        <v>1332260.6301</v>
      </c>
      <c r="CH18" s="1">
        <f>VLOOKUP($A18,'RECEITAS - PAN'!$A$3:$AA$23,27,FALSE)</f>
        <v>82874.039499999999</v>
      </c>
      <c r="CI18" s="1">
        <f t="shared" si="19"/>
        <v>-5093324.7105999999</v>
      </c>
      <c r="CJ18" s="1">
        <f>VLOOKUP($A18,'CAPEX - PAN'!$A$3:$AB$21,28,FALSE)</f>
        <v>0</v>
      </c>
      <c r="CK18" s="1">
        <f>VLOOKUP($A18,'OPEX - PAN'!$A$3:$AB$23,28,FALSE)</f>
        <v>1332281.0233</v>
      </c>
      <c r="CL18" s="1">
        <f>VLOOKUP($A18,'RECEITAS - PAN'!$A$3:$AB$23,28,FALSE)</f>
        <v>83100.6302</v>
      </c>
      <c r="CM18" s="1">
        <f t="shared" si="20"/>
        <v>-1249180.3931</v>
      </c>
      <c r="CN18" s="1">
        <f>VLOOKUP($A18,'CAPEX - PAN'!$A$3:$AC$21,29,FALSE)</f>
        <v>0</v>
      </c>
      <c r="CO18" s="1">
        <f>VLOOKUP($A18,'OPEX - PAN'!$A$3:$AC$23,29,FALSE)</f>
        <v>1332303.9656</v>
      </c>
      <c r="CP18" s="1">
        <f>VLOOKUP($A18,'RECEITAS - PAN'!$A$3:$AC$23,29,FALSE)</f>
        <v>83355.544699999999</v>
      </c>
      <c r="CQ18" s="1">
        <f t="shared" si="21"/>
        <v>-1248948.4209</v>
      </c>
      <c r="CR18" s="1">
        <f>VLOOKUP($A18,'CAPEX - PAN'!$A$3:$AD$21,30,FALSE)</f>
        <v>0</v>
      </c>
      <c r="CS18" s="1">
        <f>VLOOKUP($A18,'OPEX - PAN'!$A$3:$AD$23,30,FALSE)</f>
        <v>1332324.3588</v>
      </c>
      <c r="CT18" s="1">
        <f>VLOOKUP($A18,'RECEITAS - PAN'!$A$3:$AD$23,30,FALSE)</f>
        <v>83582.135399999999</v>
      </c>
      <c r="CU18" s="1">
        <f t="shared" si="22"/>
        <v>-1248742.2234</v>
      </c>
      <c r="CV18" s="1">
        <f>VLOOKUP($A18,'CAPEX - PAN'!$A$3:$AE$21,31,FALSE)</f>
        <v>0</v>
      </c>
      <c r="CW18" s="1">
        <f>VLOOKUP($A18,'OPEX - PAN'!$A$3:$AE$23,31,FALSE)</f>
        <v>1332347.3011</v>
      </c>
      <c r="CX18" s="1">
        <f>VLOOKUP($A18,'RECEITAS - PAN'!$A$3:$AE$23,31,FALSE)</f>
        <v>83837.049899999998</v>
      </c>
      <c r="CY18" s="1">
        <f t="shared" si="23"/>
        <v>-1248510.2512000001</v>
      </c>
      <c r="CZ18" s="1">
        <f>VLOOKUP($A18,'CAPEX - PAN'!$A$3:$AF$21,32,FALSE)</f>
        <v>68451.08</v>
      </c>
      <c r="DA18" s="1">
        <f>VLOOKUP($A18,'OPEX - PAN'!$A$3:$AF$23,32,FALSE)</f>
        <v>1332367.6942</v>
      </c>
      <c r="DB18" s="1">
        <f>VLOOKUP($A18,'RECEITAS - PAN'!$A$3:$AF$23,32,FALSE)</f>
        <v>84063.640599999999</v>
      </c>
      <c r="DC18" s="1">
        <f t="shared" si="24"/>
        <v>-1316755.1336000001</v>
      </c>
      <c r="DD18" s="1">
        <f>VLOOKUP($A18,'CAPEX - PAN'!$A$3:$AG$21,33,FALSE)</f>
        <v>0</v>
      </c>
      <c r="DE18" s="1">
        <f>VLOOKUP($A18,'OPEX - PAN'!$A$3:$AG$23,33,FALSE)</f>
        <v>1332390.6365</v>
      </c>
      <c r="DF18" s="1">
        <f>VLOOKUP($A18,'RECEITAS - PAN'!$A$3:$AG$23,33,FALSE)</f>
        <v>84318.555200000003</v>
      </c>
      <c r="DG18" s="1">
        <f t="shared" si="25"/>
        <v>-1248072.0813</v>
      </c>
      <c r="DH18" s="1">
        <f>VLOOKUP($A18,'CAPEX - PAN'!$A$3:$AH$21,34,FALSE)</f>
        <v>0</v>
      </c>
      <c r="DI18" s="1">
        <f>VLOOKUP($A18,'OPEX - PAN'!$A$3:$AH$23,34,FALSE)</f>
        <v>1332413.5788</v>
      </c>
      <c r="DJ18" s="1">
        <f>VLOOKUP($A18,'RECEITAS - PAN'!$A$3:$AH$23,34,FALSE)</f>
        <v>84573.469700000001</v>
      </c>
      <c r="DK18" s="1">
        <f t="shared" si="26"/>
        <v>-1247840.1091</v>
      </c>
      <c r="DL18" s="1">
        <f>VLOOKUP($A18,'CAPEX - PAN'!$A$3:$AI$21,35,FALSE)</f>
        <v>68451.08</v>
      </c>
      <c r="DM18" s="1">
        <f>VLOOKUP($A18,'OPEX - PAN'!$A$3:$AI$23,35,FALSE)</f>
        <v>1332436.5212000001</v>
      </c>
      <c r="DN18" s="1">
        <f>VLOOKUP($A18,'RECEITAS - PAN'!$A$3:$AI$23,35,FALSE)</f>
        <v>84828.3842</v>
      </c>
      <c r="DO18" s="1">
        <f t="shared" si="27"/>
        <v>-1316059.2170000002</v>
      </c>
      <c r="DP18" s="1">
        <f>VLOOKUP($A18,'CAPEX - PAN'!$A$3:$AJ$21,36,FALSE)</f>
        <v>0</v>
      </c>
      <c r="DQ18" s="1">
        <f>VLOOKUP($A18,'OPEX - PAN'!$A$3:$AJ$23,36,FALSE)</f>
        <v>1332441.4867285716</v>
      </c>
      <c r="DR18" s="1">
        <f>VLOOKUP($A18,'RECEITAS - PAN'!$A$3:$AJ$23,36,FALSE)</f>
        <v>84883.557259523834</v>
      </c>
      <c r="DS18" s="1">
        <f t="shared" si="28"/>
        <v>-1247557.9294690478</v>
      </c>
      <c r="DT18" s="1">
        <f>VLOOKUP($A18,'CAPEX - PAN'!$A$3:$AK$21,37,FALSE)</f>
        <v>0</v>
      </c>
      <c r="DU18" s="1">
        <f>VLOOKUP($A18,'OPEX - PAN'!$A$3:$AK$23,37,FALSE)</f>
        <v>1332462.2486397962</v>
      </c>
      <c r="DV18" s="1">
        <f>VLOOKUP($A18,'RECEITAS - PAN'!$A$3:$AK$23,37,FALSE)</f>
        <v>85114.245167233574</v>
      </c>
      <c r="DW18" s="1">
        <f t="shared" si="29"/>
        <v>-1247348.0034725626</v>
      </c>
      <c r="DX18" s="12">
        <f t="shared" si="30"/>
        <v>19661562.939999998</v>
      </c>
      <c r="DY18" s="12">
        <f t="shared" si="31"/>
        <v>39965308.142668374</v>
      </c>
      <c r="DZ18" s="12">
        <f t="shared" si="32"/>
        <v>2339631.4599767574</v>
      </c>
      <c r="EA18" s="12">
        <f t="shared" si="33"/>
        <v>-57287239.622691609</v>
      </c>
      <c r="EB18" s="3">
        <f>VLOOKUP(A18,'CAPEX - PAN'!$A$3:$AN$21,40,FALSE)</f>
        <v>0</v>
      </c>
      <c r="EC18" s="3">
        <f>VLOOKUP(A18,'BASE PAN - CAPEX'!$A$3:$H$22,8,FALSE)</f>
        <v>0</v>
      </c>
      <c r="ED18" s="63">
        <f t="shared" si="34"/>
        <v>-34506841.731650002</v>
      </c>
    </row>
    <row r="19" spans="1:134" s="17" customFormat="1" x14ac:dyDescent="0.25">
      <c r="A19" s="17" t="s">
        <v>157</v>
      </c>
      <c r="B19" s="30" t="s">
        <v>158</v>
      </c>
      <c r="C19" s="17">
        <v>260600</v>
      </c>
      <c r="D19" s="17" t="s">
        <v>159</v>
      </c>
      <c r="E19" s="17" t="s">
        <v>158</v>
      </c>
      <c r="F19" s="17" t="s">
        <v>31</v>
      </c>
      <c r="G19" s="17" t="s">
        <v>28</v>
      </c>
      <c r="H19" s="1">
        <f>VLOOKUP($A19,'CAPEX - PAN'!$A$3:$H$23,8,FALSE)</f>
        <v>7663541.0966666667</v>
      </c>
      <c r="I19" s="1">
        <f>VLOOKUP($A19,'OPEX - PAN'!$A$3:$H$23,8,FALSE)</f>
        <v>1331907.3647</v>
      </c>
      <c r="J19" s="1">
        <f>VLOOKUP($A19,'RECEITAS - PAN'!$A$3:$H$23,8,FALSE)</f>
        <v>39474.434099999999</v>
      </c>
      <c r="K19" s="1">
        <f t="shared" si="0"/>
        <v>-8955974.0272666663</v>
      </c>
      <c r="L19" s="1">
        <f>VLOOKUP($A19,'CAPEX - PAN'!$A$3:$I$21,9,FALSE)</f>
        <v>2146666.666666667</v>
      </c>
      <c r="M19" s="1">
        <f>VLOOKUP($A19,'OPEX - PAN'!$A$3:$I$23,9,FALSE)</f>
        <v>1331920.1103999999</v>
      </c>
      <c r="N19" s="1">
        <f>VLOOKUP($A19,'RECEITAS - PAN'!$A$3:$I$23,9,FALSE)</f>
        <v>39545.243699999999</v>
      </c>
      <c r="O19" s="1">
        <f t="shared" si="35"/>
        <v>-3439041.5333666671</v>
      </c>
      <c r="P19" s="1">
        <f>VLOOKUP($A19,'CAPEX - PAN'!$A$3:$J$21,10,FALSE)</f>
        <v>2146666.666666667</v>
      </c>
      <c r="Q19" s="1">
        <f>VLOOKUP($A19,'OPEX - PAN'!$A$3:$J$23,10,FALSE)</f>
        <v>1331935.4053</v>
      </c>
      <c r="R19" s="1">
        <f>VLOOKUP($A19,'RECEITAS - PAN'!$A$3:$J$23,10,FALSE)</f>
        <v>39630.215199999999</v>
      </c>
      <c r="S19" s="1">
        <f t="shared" si="2"/>
        <v>-3438971.8567666672</v>
      </c>
      <c r="T19" s="1">
        <f>VLOOKUP($A19,'CAPEX - PAN'!$A$3:$K$21,11,FALSE)</f>
        <v>0</v>
      </c>
      <c r="U19" s="1">
        <f>VLOOKUP($A19,'OPEX - PAN'!$A$3:$K$23,11,FALSE)</f>
        <v>1331948.1510000001</v>
      </c>
      <c r="V19" s="1">
        <f>VLOOKUP($A19,'RECEITAS - PAN'!$A$3:$K$23,11,FALSE)</f>
        <v>79402.049599999998</v>
      </c>
      <c r="W19" s="1">
        <f t="shared" si="3"/>
        <v>-1252546.1014</v>
      </c>
      <c r="X19" s="1">
        <f>VLOOKUP($A19,'CAPEX - PAN'!$A$3:$L$21,12,FALSE)</f>
        <v>62823</v>
      </c>
      <c r="Y19" s="1">
        <f>VLOOKUP($A19,'OPEX - PAN'!$A$3:$L$23,12,FALSE)</f>
        <v>1331963.4458999999</v>
      </c>
      <c r="Z19" s="1">
        <f>VLOOKUP($A19,'RECEITAS - PAN'!$A$3:$L$23,12,FALSE)</f>
        <v>79571.992599999998</v>
      </c>
      <c r="AA19" s="1">
        <f t="shared" si="4"/>
        <v>-1315214.4532999999</v>
      </c>
      <c r="AB19" s="1">
        <f>VLOOKUP($A19,'CAPEX - PAN'!$A$3:$M$21,13,FALSE)</f>
        <v>0</v>
      </c>
      <c r="AC19" s="1">
        <f>VLOOKUP($A19,'OPEX - PAN'!$A$3:$M$23,13,FALSE)</f>
        <v>1331978.7408</v>
      </c>
      <c r="AD19" s="1">
        <f>VLOOKUP($A19,'RECEITAS - PAN'!$A$3:$M$23,13,FALSE)</f>
        <v>79741.935700000002</v>
      </c>
      <c r="AE19" s="1">
        <f t="shared" si="5"/>
        <v>-1252236.8051</v>
      </c>
      <c r="AF19" s="1">
        <f>VLOOKUP($A19,'CAPEX - PAN'!$A$3:$N$21,14,FALSE)</f>
        <v>0</v>
      </c>
      <c r="AG19" s="1">
        <f>VLOOKUP($A19,'OPEX - PAN'!$A$3:$N$23,14,FALSE)</f>
        <v>1331991.4865000001</v>
      </c>
      <c r="AH19" s="1">
        <f>VLOOKUP($A19,'RECEITAS - PAN'!$A$3:$N$23,14,FALSE)</f>
        <v>79883.554799999998</v>
      </c>
      <c r="AI19" s="1">
        <f t="shared" si="6"/>
        <v>-1252107.9317000001</v>
      </c>
      <c r="AJ19" s="1">
        <f>VLOOKUP($A19,'CAPEX - PAN'!$A$3:$O$21,15,FALSE)</f>
        <v>62823</v>
      </c>
      <c r="AK19" s="1">
        <f>VLOOKUP($A19,'OPEX - PAN'!$A$3:$O$23,15,FALSE)</f>
        <v>1332006.7814</v>
      </c>
      <c r="AL19" s="1">
        <f>VLOOKUP($A19,'RECEITAS - PAN'!$A$3:$O$23,15,FALSE)</f>
        <v>80053.497900000002</v>
      </c>
      <c r="AM19" s="1">
        <f t="shared" si="7"/>
        <v>-1314776.2834999999</v>
      </c>
      <c r="AN19" s="1">
        <f>VLOOKUP($A19,'CAPEX - PAN'!$A$3:$P$21,16,FALSE)</f>
        <v>0</v>
      </c>
      <c r="AO19" s="1">
        <f>VLOOKUP($A19,'OPEX - PAN'!$A$3:$P$23,16,FALSE)</f>
        <v>1332022.0762</v>
      </c>
      <c r="AP19" s="1">
        <f>VLOOKUP($A19,'RECEITAS - PAN'!$A$3:$P$23,16,FALSE)</f>
        <v>80223.440900000001</v>
      </c>
      <c r="AQ19" s="1">
        <f t="shared" si="8"/>
        <v>-1251798.6353</v>
      </c>
      <c r="AR19" s="1">
        <f>VLOOKUP($A19,'CAPEX - PAN'!$A$3:$Q$21,17,FALSE)</f>
        <v>4085952.31</v>
      </c>
      <c r="AS19" s="1">
        <f>VLOOKUP($A19,'OPEX - PAN'!$A$3:$Q$23,17,FALSE)</f>
        <v>1332037.3711000001</v>
      </c>
      <c r="AT19" s="1">
        <f>VLOOKUP($A19,'RECEITAS - PAN'!$A$3:$Q$23,17,FALSE)</f>
        <v>80393.383900000001</v>
      </c>
      <c r="AU19" s="1">
        <f t="shared" si="9"/>
        <v>-5337596.2971999999</v>
      </c>
      <c r="AV19" s="1">
        <f>VLOOKUP($A19,'CAPEX - PAN'!$A$3:$R$21,18,FALSE)</f>
        <v>0</v>
      </c>
      <c r="AW19" s="1">
        <f>VLOOKUP($A19,'OPEX - PAN'!$A$3:$R$23,18,FALSE)</f>
        <v>1332052.666</v>
      </c>
      <c r="AX19" s="1">
        <f>VLOOKUP($A19,'RECEITAS - PAN'!$A$3:$R$23,18,FALSE)</f>
        <v>80563.3269</v>
      </c>
      <c r="AY19" s="1">
        <f t="shared" si="10"/>
        <v>-1251489.3391</v>
      </c>
      <c r="AZ19" s="1">
        <f>VLOOKUP($A19,'CAPEX - PAN'!$A$3:$S$21,19,FALSE)</f>
        <v>0</v>
      </c>
      <c r="BA19" s="1">
        <f>VLOOKUP($A19,'OPEX - PAN'!$A$3:$S$23,19,FALSE)</f>
        <v>1332067.9609000001</v>
      </c>
      <c r="BB19" s="1">
        <f>VLOOKUP($A19,'RECEITAS - PAN'!$A$3:$S$23,19,FALSE)</f>
        <v>80733.27</v>
      </c>
      <c r="BC19" s="1">
        <f t="shared" si="11"/>
        <v>-1251334.6909</v>
      </c>
      <c r="BD19" s="1">
        <f>VLOOKUP($A19,'CAPEX - PAN'!$A$3:$T$21,20,FALSE)</f>
        <v>0</v>
      </c>
      <c r="BE19" s="1">
        <f>VLOOKUP($A19,'OPEX - PAN'!$A$3:$T$23,20,FALSE)</f>
        <v>1332083.2557000001</v>
      </c>
      <c r="BF19" s="1">
        <f>VLOOKUP($A19,'RECEITAS - PAN'!$A$3:$T$23,20,FALSE)</f>
        <v>80903.213000000003</v>
      </c>
      <c r="BG19" s="1">
        <f t="shared" si="12"/>
        <v>-1251180.0427000001</v>
      </c>
      <c r="BH19" s="1">
        <f>VLOOKUP($A19,'CAPEX - PAN'!$A$3:$U$21,21,FALSE)</f>
        <v>0</v>
      </c>
      <c r="BI19" s="1">
        <f>VLOOKUP($A19,'OPEX - PAN'!$A$3:$U$23,21,FALSE)</f>
        <v>1332098.5506</v>
      </c>
      <c r="BJ19" s="1">
        <f>VLOOKUP($A19,'RECEITAS - PAN'!$A$3:$U$23,21,FALSE)</f>
        <v>81073.156000000003</v>
      </c>
      <c r="BK19" s="1">
        <f t="shared" si="13"/>
        <v>-1251025.3946</v>
      </c>
      <c r="BL19" s="1">
        <f>VLOOKUP($A19,'CAPEX - PAN'!$A$3:$V$21,22,FALSE)</f>
        <v>1632888.42</v>
      </c>
      <c r="BM19" s="1">
        <f>VLOOKUP($A19,'OPEX - PAN'!$A$3:$V$23,22,FALSE)</f>
        <v>1332115.3288</v>
      </c>
      <c r="BN19" s="1">
        <f>VLOOKUP($A19,'RECEITAS - PAN'!$A$3:$V$23,22,FALSE)</f>
        <v>81259.580700000006</v>
      </c>
      <c r="BO19" s="1">
        <f t="shared" si="14"/>
        <v>-2883744.1680999999</v>
      </c>
      <c r="BP19" s="1">
        <f>VLOOKUP($A19,'CAPEX - PAN'!$A$3:$W$21,23,FALSE)</f>
        <v>0</v>
      </c>
      <c r="BQ19" s="1">
        <f>VLOOKUP($A19,'OPEX - PAN'!$A$3:$W$23,23,FALSE)</f>
        <v>1332133.1728999999</v>
      </c>
      <c r="BR19" s="1">
        <f>VLOOKUP($A19,'RECEITAS - PAN'!$A$3:$W$23,23,FALSE)</f>
        <v>81457.847599999994</v>
      </c>
      <c r="BS19" s="1">
        <f t="shared" si="15"/>
        <v>-1250675.3252999999</v>
      </c>
      <c r="BT19" s="1">
        <f>VLOOKUP($A19,'CAPEX - PAN'!$A$3:$X$21,24,FALSE)</f>
        <v>0</v>
      </c>
      <c r="BU19" s="1">
        <f>VLOOKUP($A19,'OPEX - PAN'!$A$3:$X$23,24,FALSE)</f>
        <v>1332148.4676999999</v>
      </c>
      <c r="BV19" s="1">
        <f>VLOOKUP($A19,'RECEITAS - PAN'!$A$3:$X$23,24,FALSE)</f>
        <v>81627.790599999993</v>
      </c>
      <c r="BW19" s="1">
        <f t="shared" si="16"/>
        <v>-1250520.6771</v>
      </c>
      <c r="BX19" s="1">
        <f>VLOOKUP($A19,'CAPEX - PAN'!$A$3:$Y$21,25,FALSE)</f>
        <v>62823</v>
      </c>
      <c r="BY19" s="1">
        <f>VLOOKUP($A19,'OPEX - PAN'!$A$3:$Y$23,25,FALSE)</f>
        <v>1332166.3117</v>
      </c>
      <c r="BZ19" s="1">
        <f>VLOOKUP($A19,'RECEITAS - PAN'!$A$3:$Y$23,25,FALSE)</f>
        <v>81826.057499999995</v>
      </c>
      <c r="CA19" s="1">
        <f t="shared" si="17"/>
        <v>-1313163.2541999999</v>
      </c>
      <c r="CB19" s="1">
        <f>VLOOKUP($A19,'CAPEX - PAN'!$A$3:$Z$21,26,FALSE)</f>
        <v>0</v>
      </c>
      <c r="CC19" s="1">
        <f>VLOOKUP($A19,'OPEX - PAN'!$A$3:$Z$23,26,FALSE)</f>
        <v>1332181.6066000001</v>
      </c>
      <c r="CD19" s="1">
        <f>VLOOKUP($A19,'RECEITAS - PAN'!$A$3:$Z$23,26,FALSE)</f>
        <v>81996.000499999995</v>
      </c>
      <c r="CE19" s="1">
        <f t="shared" si="18"/>
        <v>-1250185.6061</v>
      </c>
      <c r="CF19" s="1">
        <f>VLOOKUP($A19,'CAPEX - PAN'!$A$3:$AA$21,27,FALSE)</f>
        <v>4085952.31</v>
      </c>
      <c r="CG19" s="1">
        <f>VLOOKUP($A19,'OPEX - PAN'!$A$3:$AA$23,27,FALSE)</f>
        <v>1332199.4506000001</v>
      </c>
      <c r="CH19" s="1">
        <f>VLOOKUP($A19,'RECEITAS - PAN'!$A$3:$AA$23,27,FALSE)</f>
        <v>82194.267399999997</v>
      </c>
      <c r="CI19" s="1">
        <f t="shared" si="19"/>
        <v>-5335957.4932000004</v>
      </c>
      <c r="CJ19" s="1">
        <f>VLOOKUP($A19,'CAPEX - PAN'!$A$3:$AB$21,28,FALSE)</f>
        <v>0</v>
      </c>
      <c r="CK19" s="1">
        <f>VLOOKUP($A19,'OPEX - PAN'!$A$3:$AB$23,28,FALSE)</f>
        <v>1332214.7455</v>
      </c>
      <c r="CL19" s="1">
        <f>VLOOKUP($A19,'RECEITAS - PAN'!$A$3:$AB$23,28,FALSE)</f>
        <v>82364.210399999996</v>
      </c>
      <c r="CM19" s="1">
        <f t="shared" si="20"/>
        <v>-1249850.5351</v>
      </c>
      <c r="CN19" s="1">
        <f>VLOOKUP($A19,'CAPEX - PAN'!$A$3:$AC$21,29,FALSE)</f>
        <v>0</v>
      </c>
      <c r="CO19" s="1">
        <f>VLOOKUP($A19,'OPEX - PAN'!$A$3:$AC$23,29,FALSE)</f>
        <v>1332232.5895</v>
      </c>
      <c r="CP19" s="1">
        <f>VLOOKUP($A19,'RECEITAS - PAN'!$A$3:$AC$23,29,FALSE)</f>
        <v>82562.477199999994</v>
      </c>
      <c r="CQ19" s="1">
        <f t="shared" si="21"/>
        <v>-1249670.1122999999</v>
      </c>
      <c r="CR19" s="1">
        <f>VLOOKUP($A19,'CAPEX - PAN'!$A$3:$AD$21,30,FALSE)</f>
        <v>0</v>
      </c>
      <c r="CS19" s="1">
        <f>VLOOKUP($A19,'OPEX - PAN'!$A$3:$AD$23,30,FALSE)</f>
        <v>1332250.4335</v>
      </c>
      <c r="CT19" s="1">
        <f>VLOOKUP($A19,'RECEITAS - PAN'!$A$3:$AD$23,30,FALSE)</f>
        <v>82760.744099999996</v>
      </c>
      <c r="CU19" s="1">
        <f t="shared" si="22"/>
        <v>-1249489.6894</v>
      </c>
      <c r="CV19" s="1">
        <f>VLOOKUP($A19,'CAPEX - PAN'!$A$3:$AE$21,31,FALSE)</f>
        <v>0</v>
      </c>
      <c r="CW19" s="1">
        <f>VLOOKUP($A19,'OPEX - PAN'!$A$3:$AE$23,31,FALSE)</f>
        <v>1332268.2775999999</v>
      </c>
      <c r="CX19" s="1">
        <f>VLOOKUP($A19,'RECEITAS - PAN'!$A$3:$AE$23,31,FALSE)</f>
        <v>82959.010999999999</v>
      </c>
      <c r="CY19" s="1">
        <f t="shared" si="23"/>
        <v>-1249309.2666</v>
      </c>
      <c r="CZ19" s="1">
        <f>VLOOKUP($A19,'CAPEX - PAN'!$A$3:$AF$21,32,FALSE)</f>
        <v>62823</v>
      </c>
      <c r="DA19" s="1">
        <f>VLOOKUP($A19,'OPEX - PAN'!$A$3:$AF$23,32,FALSE)</f>
        <v>1332286.1216</v>
      </c>
      <c r="DB19" s="1">
        <f>VLOOKUP($A19,'RECEITAS - PAN'!$A$3:$AF$23,32,FALSE)</f>
        <v>83157.277799999996</v>
      </c>
      <c r="DC19" s="1">
        <f t="shared" si="24"/>
        <v>-1311951.8437999999</v>
      </c>
      <c r="DD19" s="1">
        <f>VLOOKUP($A19,'CAPEX - PAN'!$A$3:$AG$21,33,FALSE)</f>
        <v>0</v>
      </c>
      <c r="DE19" s="1">
        <f>VLOOKUP($A19,'OPEX - PAN'!$A$3:$AG$23,33,FALSE)</f>
        <v>1332303.9656</v>
      </c>
      <c r="DF19" s="1">
        <f>VLOOKUP($A19,'RECEITAS - PAN'!$A$3:$AG$23,33,FALSE)</f>
        <v>83355.544699999999</v>
      </c>
      <c r="DG19" s="1">
        <f t="shared" si="25"/>
        <v>-1248948.4209</v>
      </c>
      <c r="DH19" s="1">
        <f>VLOOKUP($A19,'CAPEX - PAN'!$A$3:$AH$21,34,FALSE)</f>
        <v>0</v>
      </c>
      <c r="DI19" s="1">
        <f>VLOOKUP($A19,'OPEX - PAN'!$A$3:$AH$23,34,FALSE)</f>
        <v>1332321.8096</v>
      </c>
      <c r="DJ19" s="1">
        <f>VLOOKUP($A19,'RECEITAS - PAN'!$A$3:$AH$23,34,FALSE)</f>
        <v>83553.811600000001</v>
      </c>
      <c r="DK19" s="1">
        <f t="shared" si="26"/>
        <v>-1248767.9980000001</v>
      </c>
      <c r="DL19" s="1">
        <f>VLOOKUP($A19,'CAPEX - PAN'!$A$3:$AI$21,35,FALSE)</f>
        <v>62823</v>
      </c>
      <c r="DM19" s="1">
        <f>VLOOKUP($A19,'OPEX - PAN'!$A$3:$AI$23,35,FALSE)</f>
        <v>1332339.6536000001</v>
      </c>
      <c r="DN19" s="1">
        <f>VLOOKUP($A19,'RECEITAS - PAN'!$A$3:$AI$23,35,FALSE)</f>
        <v>83752.078399999999</v>
      </c>
      <c r="DO19" s="1">
        <f t="shared" si="27"/>
        <v>-1311410.5752000001</v>
      </c>
      <c r="DP19" s="1">
        <f>VLOOKUP($A19,'CAPEX - PAN'!$A$3:$AJ$21,36,FALSE)</f>
        <v>0</v>
      </c>
      <c r="DQ19" s="1">
        <f>VLOOKUP($A19,'OPEX - PAN'!$A$3:$AJ$23,36,FALSE)</f>
        <v>1332346.0743634922</v>
      </c>
      <c r="DR19" s="1">
        <f>VLOOKUP($A19,'RECEITAS - PAN'!$A$3:$AJ$23,36,FALSE)</f>
        <v>83823.420000793703</v>
      </c>
      <c r="DS19" s="1">
        <f t="shared" si="28"/>
        <v>-1248522.6543626986</v>
      </c>
      <c r="DT19" s="1">
        <f>VLOOKUP($A19,'CAPEX - PAN'!$A$3:$AK$21,37,FALSE)</f>
        <v>0</v>
      </c>
      <c r="DU19" s="1">
        <f>VLOOKUP($A19,'OPEX - PAN'!$A$3:$AK$23,37,FALSE)</f>
        <v>1332362.9607463719</v>
      </c>
      <c r="DV19" s="1">
        <f>VLOOKUP($A19,'RECEITAS - PAN'!$A$3:$AK$23,37,FALSE)</f>
        <v>84011.046470748261</v>
      </c>
      <c r="DW19" s="1">
        <f t="shared" si="29"/>
        <v>-1248351.9142756236</v>
      </c>
      <c r="DX19" s="12">
        <f t="shared" si="30"/>
        <v>22075782.469999999</v>
      </c>
      <c r="DY19" s="12">
        <f t="shared" si="31"/>
        <v>39963884.336409867</v>
      </c>
      <c r="DZ19" s="12">
        <f t="shared" si="32"/>
        <v>2323853.8802715424</v>
      </c>
      <c r="EA19" s="12">
        <f t="shared" si="33"/>
        <v>-59715812.926138327</v>
      </c>
      <c r="EB19" s="3">
        <f>VLOOKUP(A19,'CAPEX - PAN'!$A$3:$AN$21,40,FALSE)</f>
        <v>0</v>
      </c>
      <c r="EC19" s="3">
        <f>VLOOKUP(A19,'BASE PAN - CAPEX'!$A$3:$H$22,8,FALSE)</f>
        <v>0</v>
      </c>
      <c r="ED19" s="63">
        <f t="shared" si="34"/>
        <v>-36699037.5603</v>
      </c>
    </row>
    <row r="20" spans="1:134" s="17" customFormat="1" x14ac:dyDescent="0.25">
      <c r="A20" s="17" t="s">
        <v>317</v>
      </c>
      <c r="B20" s="30" t="str">
        <f>VLOOKUP(A20,'CAPEX - Navegação Aérea'!$A$3:$B$22,2,FALSE)</f>
        <v>COMANDANTE ARISTON PESSOA</v>
      </c>
      <c r="C20" s="17">
        <f>VLOOKUP(A20,'[10]FLUXO DE CAIXA DESC.-BLOCOS PAN'!$A$3:$C$251,3,FALSE)</f>
        <v>230110</v>
      </c>
      <c r="D20" s="17" t="str">
        <f>VLOOKUP(A20,'[10]FLUXO DE CAIXA DESC.-BLOCOS PAN'!$A$3:$D$251,4,FALSE)</f>
        <v>SNAT230110</v>
      </c>
      <c r="E20" s="17" t="s">
        <v>318</v>
      </c>
      <c r="F20" s="17" t="s">
        <v>323</v>
      </c>
      <c r="G20" s="17" t="s">
        <v>28</v>
      </c>
      <c r="H20" s="28">
        <f>VLOOKUP($A20,'CAPEX - PAN'!$A$3:$H$23,8,FALSE)</f>
        <v>5432000</v>
      </c>
      <c r="I20" s="28">
        <f>VLOOKUP($A20,'OPEX - PAN'!$A$3:$H$23,8,FALSE)</f>
        <v>5743125.3203999996</v>
      </c>
      <c r="J20" s="28">
        <f>VLOOKUP($A20,'RECEITAS - PAN'!$A$3:$H$23,8,FALSE)</f>
        <v>395464.24845000001</v>
      </c>
      <c r="K20" s="28">
        <f t="shared" si="0"/>
        <v>-10779661.07195</v>
      </c>
      <c r="L20" s="28">
        <f>VLOOKUP($A20,'CAPEX - PAN'!$A$3:$I$21,9,FALSE)</f>
        <v>5492943.0860455493</v>
      </c>
      <c r="M20" s="28">
        <f>VLOOKUP($A20,'OPEX - PAN'!$A$3:$I$23,9,FALSE)</f>
        <v>5747038.8700000001</v>
      </c>
      <c r="N20" s="28">
        <f>VLOOKUP($A20,'RECEITAS - PAN'!$A$3:$I$23,9,FALSE)</f>
        <v>418485.12900000002</v>
      </c>
      <c r="O20" s="28">
        <f t="shared" si="35"/>
        <v>-10821496.827045549</v>
      </c>
      <c r="P20" s="28">
        <f>VLOOKUP($A20,'CAPEX - PAN'!$A$3:$J$21,10,FALSE)</f>
        <v>5432000</v>
      </c>
      <c r="Q20" s="28">
        <f>VLOOKUP($A20,'OPEX - PAN'!$A$3:$J$23,10,FALSE)</f>
        <v>5750339.5848000003</v>
      </c>
      <c r="R20" s="28">
        <f>VLOOKUP($A20,'RECEITAS - PAN'!$A$3:$J$23,10,FALSE)</f>
        <v>437901.09834999999</v>
      </c>
      <c r="S20" s="28">
        <f t="shared" si="2"/>
        <v>-10744438.486450002</v>
      </c>
      <c r="T20" s="28">
        <f>VLOOKUP($A20,'CAPEX - PAN'!$A$3:$K$21,11,FALSE)</f>
        <v>60943.086045549135</v>
      </c>
      <c r="U20" s="28">
        <f>VLOOKUP($A20,'OPEX - PAN'!$A$3:$K$23,11,FALSE)</f>
        <v>5753399.2293999996</v>
      </c>
      <c r="V20" s="28">
        <f>VLOOKUP($A20,'RECEITAS - PAN'!$A$3:$K$23,11,FALSE)</f>
        <v>911798.01520000002</v>
      </c>
      <c r="W20" s="28">
        <f t="shared" si="3"/>
        <v>-4902544.3002455486</v>
      </c>
      <c r="X20" s="28">
        <f>VLOOKUP($A20,'CAPEX - PAN'!$A$3:$L$21,12,FALSE)</f>
        <v>242067.46000000002</v>
      </c>
      <c r="Y20" s="28">
        <f>VLOOKUP($A20,'OPEX - PAN'!$A$3:$L$23,12,FALSE)</f>
        <v>5756241.8014000002</v>
      </c>
      <c r="Z20" s="28">
        <f>VLOOKUP($A20,'RECEITAS - PAN'!$A$3:$L$23,12,FALSE)</f>
        <v>945240.03830000001</v>
      </c>
      <c r="AA20" s="28">
        <f t="shared" si="4"/>
        <v>-5053069.2231000001</v>
      </c>
      <c r="AB20" s="28">
        <f>VLOOKUP($A20,'CAPEX - PAN'!$A$3:$M$21,13,FALSE)</f>
        <v>60943.086045549135</v>
      </c>
      <c r="AC20" s="28">
        <f>VLOOKUP($A20,'OPEX - PAN'!$A$3:$M$23,13,FALSE)</f>
        <v>5758966.9073999999</v>
      </c>
      <c r="AD20" s="28">
        <f>VLOOKUP($A20,'RECEITAS - PAN'!$A$3:$M$23,13,FALSE)</f>
        <v>977300.10919999995</v>
      </c>
      <c r="AE20" s="28">
        <f t="shared" si="5"/>
        <v>-4842609.8842455493</v>
      </c>
      <c r="AF20" s="28">
        <f>VLOOKUP($A20,'CAPEX - PAN'!$A$3:$N$21,14,FALSE)</f>
        <v>0</v>
      </c>
      <c r="AG20" s="28">
        <f>VLOOKUP($A20,'OPEX - PAN'!$A$3:$N$23,14,FALSE)</f>
        <v>5761519.1599000003</v>
      </c>
      <c r="AH20" s="28">
        <f>VLOOKUP($A20,'RECEITAS - PAN'!$A$3:$N$23,14,FALSE)</f>
        <v>1007326.6091</v>
      </c>
      <c r="AI20" s="28">
        <f t="shared" si="6"/>
        <v>-4754192.5508000003</v>
      </c>
      <c r="AJ20" s="28">
        <f>VLOOKUP($A20,'CAPEX - PAN'!$A$3:$O$21,15,FALSE)</f>
        <v>303010.54604554916</v>
      </c>
      <c r="AK20" s="28">
        <f>VLOOKUP($A20,'OPEX - PAN'!$A$3:$O$23,15,FALSE)</f>
        <v>5763865.4596999995</v>
      </c>
      <c r="AL20" s="28">
        <f>VLOOKUP($A20,'RECEITAS - PAN'!$A$3:$O$23,15,FALSE)</f>
        <v>1034930.1359</v>
      </c>
      <c r="AM20" s="28">
        <f t="shared" si="7"/>
        <v>-5031945.8698455486</v>
      </c>
      <c r="AN20" s="28">
        <f>VLOOKUP($A20,'CAPEX - PAN'!$A$3:$P$21,16,FALSE)</f>
        <v>0</v>
      </c>
      <c r="AO20" s="28">
        <f>VLOOKUP($A20,'OPEX - PAN'!$A$3:$P$23,16,FALSE)</f>
        <v>5766038.0096000005</v>
      </c>
      <c r="AP20" s="28">
        <f>VLOOKUP($A20,'RECEITAS - PAN'!$A$3:$P$23,16,FALSE)</f>
        <v>1060489.5471999999</v>
      </c>
      <c r="AQ20" s="28">
        <f t="shared" si="8"/>
        <v>-4705548.4624000005</v>
      </c>
      <c r="AR20" s="28">
        <f>VLOOKUP($A20,'CAPEX - PAN'!$A$3:$Q$21,17,FALSE)</f>
        <v>8356494.2360455487</v>
      </c>
      <c r="AS20" s="28">
        <f>VLOOKUP($A20,'OPEX - PAN'!$A$3:$Q$23,17,FALSE)</f>
        <v>5768195.9380000001</v>
      </c>
      <c r="AT20" s="28">
        <f>VLOOKUP($A20,'RECEITAS - PAN'!$A$3:$Q$23,17,FALSE)</f>
        <v>1085876.9401</v>
      </c>
      <c r="AU20" s="28">
        <f t="shared" si="9"/>
        <v>-13038813.233945549</v>
      </c>
      <c r="AV20" s="28">
        <f>VLOOKUP($A20,'CAPEX - PAN'!$A$3:$R$21,18,FALSE)</f>
        <v>0</v>
      </c>
      <c r="AW20" s="28">
        <f>VLOOKUP($A20,'OPEX - PAN'!$A$3:$R$23,18,FALSE)</f>
        <v>5770341.3082999997</v>
      </c>
      <c r="AX20" s="28">
        <f>VLOOKUP($A20,'RECEITAS - PAN'!$A$3:$R$23,18,FALSE)</f>
        <v>1111116.5907000001</v>
      </c>
      <c r="AY20" s="28">
        <f t="shared" si="10"/>
        <v>-4659224.7175999992</v>
      </c>
      <c r="AZ20" s="28">
        <f>VLOOKUP($A20,'CAPEX - PAN'!$A$3:$S$21,19,FALSE)</f>
        <v>60943.086045549135</v>
      </c>
      <c r="BA20" s="28">
        <f>VLOOKUP($A20,'OPEX - PAN'!$A$3:$S$23,19,FALSE)</f>
        <v>5772523.9047999997</v>
      </c>
      <c r="BB20" s="28">
        <f>VLOOKUP($A20,'RECEITAS - PAN'!$A$3:$S$23,19,FALSE)</f>
        <v>1136794.1958000001</v>
      </c>
      <c r="BC20" s="28">
        <f t="shared" si="11"/>
        <v>-4696672.795045549</v>
      </c>
      <c r="BD20" s="28">
        <f>VLOOKUP($A20,'CAPEX - PAN'!$A$3:$T$21,20,FALSE)</f>
        <v>0</v>
      </c>
      <c r="BE20" s="28">
        <f>VLOOKUP($A20,'OPEX - PAN'!$A$3:$T$23,20,FALSE)</f>
        <v>5774674.2982999999</v>
      </c>
      <c r="BF20" s="28">
        <f>VLOOKUP($A20,'RECEITAS - PAN'!$A$3:$T$23,20,FALSE)</f>
        <v>1162092.9432999999</v>
      </c>
      <c r="BG20" s="28">
        <f t="shared" si="12"/>
        <v>-4612581.3550000004</v>
      </c>
      <c r="BH20" s="28">
        <f>VLOOKUP($A20,'CAPEX - PAN'!$A$3:$U$21,21,FALSE)</f>
        <v>60943.086045549135</v>
      </c>
      <c r="BI20" s="28">
        <f>VLOOKUP($A20,'OPEX - PAN'!$A$3:$U$23,21,FALSE)</f>
        <v>5776836.8017999995</v>
      </c>
      <c r="BJ20" s="28">
        <f>VLOOKUP($A20,'RECEITAS - PAN'!$A$3:$U$23,21,FALSE)</f>
        <v>1187534.1609</v>
      </c>
      <c r="BK20" s="28">
        <f t="shared" si="13"/>
        <v>-4650245.7269455483</v>
      </c>
      <c r="BL20" s="28">
        <f>VLOOKUP($A20,'CAPEX - PAN'!$A$3:$V$21,22,FALSE)</f>
        <v>8087636.6100000003</v>
      </c>
      <c r="BM20" s="28">
        <f>VLOOKUP($A20,'OPEX - PAN'!$A$3:$V$23,22,FALSE)</f>
        <v>5779007.2883000001</v>
      </c>
      <c r="BN20" s="28">
        <f>VLOOKUP($A20,'RECEITAS - PAN'!$A$3:$V$23,22,FALSE)</f>
        <v>1213069.2960000001</v>
      </c>
      <c r="BO20" s="28">
        <f t="shared" si="14"/>
        <v>-12653574.602299999</v>
      </c>
      <c r="BP20" s="28">
        <f>VLOOKUP($A20,'CAPEX - PAN'!$A$3:$W$21,23,FALSE)</f>
        <v>60943.086045549135</v>
      </c>
      <c r="BQ20" s="28">
        <f>VLOOKUP($A20,'OPEX - PAN'!$A$3:$W$23,23,FALSE)</f>
        <v>5781233.0303999996</v>
      </c>
      <c r="BR20" s="28">
        <f>VLOOKUP($A20,'RECEITAS - PAN'!$A$3:$W$23,23,FALSE)</f>
        <v>1239254.4971</v>
      </c>
      <c r="BS20" s="28">
        <f t="shared" si="15"/>
        <v>-4602921.6193455486</v>
      </c>
      <c r="BT20" s="28">
        <f>VLOOKUP($A20,'CAPEX - PAN'!$A$3:$X$21,24,FALSE)</f>
        <v>0</v>
      </c>
      <c r="BU20" s="28">
        <f>VLOOKUP($A20,'OPEX - PAN'!$A$3:$X$23,24,FALSE)</f>
        <v>5783499.3159999996</v>
      </c>
      <c r="BV20" s="28">
        <f>VLOOKUP($A20,'RECEITAS - PAN'!$A$3:$X$23,24,FALSE)</f>
        <v>1265916.6810000001</v>
      </c>
      <c r="BW20" s="28">
        <f t="shared" si="16"/>
        <v>-4517582.6349999998</v>
      </c>
      <c r="BX20" s="28">
        <f>VLOOKUP($A20,'CAPEX - PAN'!$A$3:$Y$21,25,FALSE)</f>
        <v>303010.54604554916</v>
      </c>
      <c r="BY20" s="28">
        <f>VLOOKUP($A20,'OPEX - PAN'!$A$3:$Y$23,25,FALSE)</f>
        <v>5785785.3369000005</v>
      </c>
      <c r="BZ20" s="28">
        <f>VLOOKUP($A20,'RECEITAS - PAN'!$A$3:$Y$23,25,FALSE)</f>
        <v>1292811.0449000001</v>
      </c>
      <c r="CA20" s="28">
        <f t="shared" si="17"/>
        <v>-4795984.8380455496</v>
      </c>
      <c r="CB20" s="28">
        <f>VLOOKUP($A20,'CAPEX - PAN'!$A$3:$Z$21,26,FALSE)</f>
        <v>0</v>
      </c>
      <c r="CC20" s="28">
        <f>VLOOKUP($A20,'OPEX - PAN'!$A$3:$Z$23,26,FALSE)</f>
        <v>5788006.0558000002</v>
      </c>
      <c r="CD20" s="28">
        <f>VLOOKUP($A20,'RECEITAS - PAN'!$A$3:$Z$23,26,FALSE)</f>
        <v>1318937.1491</v>
      </c>
      <c r="CE20" s="28">
        <f t="shared" si="18"/>
        <v>-4469068.9067000002</v>
      </c>
      <c r="CF20" s="28">
        <f>VLOOKUP($A20,'CAPEX - PAN'!$A$3:$AA$21,27,FALSE)</f>
        <v>8356494.2360455487</v>
      </c>
      <c r="CG20" s="28">
        <f>VLOOKUP($A20,'OPEX - PAN'!$A$3:$AA$23,27,FALSE)</f>
        <v>5790246.4194999998</v>
      </c>
      <c r="CH20" s="28">
        <f>VLOOKUP($A20,'RECEITAS - PAN'!$A$3:$AA$23,27,FALSE)</f>
        <v>1345294.3687</v>
      </c>
      <c r="CI20" s="28">
        <f t="shared" si="19"/>
        <v>-12801446.286845548</v>
      </c>
      <c r="CJ20" s="28">
        <f>VLOOKUP($A20,'CAPEX - PAN'!$A$3:$AB$21,28,FALSE)</f>
        <v>0</v>
      </c>
      <c r="CK20" s="28">
        <f>VLOOKUP($A20,'OPEX - PAN'!$A$3:$AB$23,28,FALSE)</f>
        <v>5792479.6963999998</v>
      </c>
      <c r="CL20" s="28">
        <f>VLOOKUP($A20,'RECEITAS - PAN'!$A$3:$AB$23,28,FALSE)</f>
        <v>1371568.2150999999</v>
      </c>
      <c r="CM20" s="28">
        <f t="shared" si="20"/>
        <v>-4420911.4813000001</v>
      </c>
      <c r="CN20" s="28">
        <f>VLOOKUP($A20,'CAPEX - PAN'!$A$3:$AC$21,29,FALSE)</f>
        <v>60943.086045549135</v>
      </c>
      <c r="CO20" s="28">
        <f>VLOOKUP($A20,'OPEX - PAN'!$A$3:$AC$23,29,FALSE)</f>
        <v>5794704.9903999995</v>
      </c>
      <c r="CP20" s="28">
        <f>VLOOKUP($A20,'RECEITAS - PAN'!$A$3:$AC$23,29,FALSE)</f>
        <v>1397748.1439</v>
      </c>
      <c r="CQ20" s="28">
        <f t="shared" si="21"/>
        <v>-4457899.9325455492</v>
      </c>
      <c r="CR20" s="28">
        <f>VLOOKUP($A20,'CAPEX - PAN'!$A$3:$AD$21,30,FALSE)</f>
        <v>0</v>
      </c>
      <c r="CS20" s="28">
        <f>VLOOKUP($A20,'OPEX - PAN'!$A$3:$AD$23,30,FALSE)</f>
        <v>5796910.6394999996</v>
      </c>
      <c r="CT20" s="28">
        <f>VLOOKUP($A20,'RECEITAS - PAN'!$A$3:$AD$23,30,FALSE)</f>
        <v>1423696.9574</v>
      </c>
      <c r="CU20" s="28">
        <f t="shared" si="22"/>
        <v>-4373213.6820999999</v>
      </c>
      <c r="CV20" s="28">
        <f>VLOOKUP($A20,'CAPEX - PAN'!$A$3:$AE$21,31,FALSE)</f>
        <v>60943.086045549135</v>
      </c>
      <c r="CW20" s="28">
        <f>VLOOKUP($A20,'OPEX - PAN'!$A$3:$AE$23,31,FALSE)</f>
        <v>5799126.3350999998</v>
      </c>
      <c r="CX20" s="28">
        <f>VLOOKUP($A20,'RECEITAS - PAN'!$A$3:$AE$23,31,FALSE)</f>
        <v>1449763.9646000001</v>
      </c>
      <c r="CY20" s="28">
        <f t="shared" si="23"/>
        <v>-4410305.4565455494</v>
      </c>
      <c r="CZ20" s="28">
        <f>VLOOKUP($A20,'CAPEX - PAN'!$A$3:$AF$21,32,FALSE)</f>
        <v>242067.46000000002</v>
      </c>
      <c r="DA20" s="28">
        <f>VLOOKUP($A20,'OPEX - PAN'!$A$3:$AF$23,32,FALSE)</f>
        <v>5801258.6991999997</v>
      </c>
      <c r="DB20" s="28">
        <f>VLOOKUP($A20,'RECEITAS - PAN'!$A$3:$AF$23,32,FALSE)</f>
        <v>1474850.6007999999</v>
      </c>
      <c r="DC20" s="28">
        <f t="shared" si="24"/>
        <v>-4568475.5583999995</v>
      </c>
      <c r="DD20" s="28">
        <f>VLOOKUP($A20,'CAPEX - PAN'!$A$3:$AG$21,33,FALSE)</f>
        <v>60943.086045549135</v>
      </c>
      <c r="DE20" s="28">
        <f>VLOOKUP($A20,'OPEX - PAN'!$A$3:$AG$23,33,FALSE)</f>
        <v>5803404.0695000002</v>
      </c>
      <c r="DF20" s="28">
        <f>VLOOKUP($A20,'RECEITAS - PAN'!$A$3:$AG$23,33,FALSE)</f>
        <v>1500090.2514</v>
      </c>
      <c r="DG20" s="28">
        <f t="shared" si="25"/>
        <v>-4364256.9041455491</v>
      </c>
      <c r="DH20" s="28">
        <f>VLOOKUP($A20,'CAPEX - PAN'!$A$3:$AH$21,34,FALSE)</f>
        <v>0</v>
      </c>
      <c r="DI20" s="28">
        <f>VLOOKUP($A20,'OPEX - PAN'!$A$3:$AH$23,34,FALSE)</f>
        <v>5805584.6024000002</v>
      </c>
      <c r="DJ20" s="28">
        <f>VLOOKUP($A20,'RECEITAS - PAN'!$A$3:$AH$23,34,FALSE)</f>
        <v>1525743.5803</v>
      </c>
      <c r="DK20" s="28">
        <f t="shared" si="26"/>
        <v>-4279841.0220999997</v>
      </c>
      <c r="DL20" s="28">
        <f>VLOOKUP($A20,'CAPEX - PAN'!$A$3:$AI$21,35,FALSE)</f>
        <v>303010.54604554916</v>
      </c>
      <c r="DM20" s="28">
        <f>VLOOKUP($A20,'OPEX - PAN'!$A$3:$AI$23,35,FALSE)</f>
        <v>5807797.3382999999</v>
      </c>
      <c r="DN20" s="28">
        <f>VLOOKUP($A20,'RECEITAS - PAN'!$A$3:$AI$23,35,FALSE)</f>
        <v>1551775.7668999999</v>
      </c>
      <c r="DO20" s="28">
        <f t="shared" si="27"/>
        <v>-4559032.117445549</v>
      </c>
      <c r="DP20" s="28">
        <f>VLOOKUP($A20,'CAPEX - PAN'!$A$3:$AJ$21,36,FALSE)</f>
        <v>0</v>
      </c>
      <c r="DQ20" s="28">
        <f>VLOOKUP($A20,'OPEX - PAN'!$A$3:$AJ$23,36,FALSE)</f>
        <v>5810887.7426166655</v>
      </c>
      <c r="DR20" s="28">
        <f>VLOOKUP($A20,'RECEITAS - PAN'!$A$3:$AJ$23,36,FALSE)</f>
        <v>1588133.4646182507</v>
      </c>
      <c r="DS20" s="28">
        <f t="shared" si="28"/>
        <v>-4222754.2779984148</v>
      </c>
      <c r="DT20" s="28">
        <f>VLOOKUP($A20,'CAPEX - PAN'!$A$3:$AK$21,37,FALSE)</f>
        <v>60943.086045549135</v>
      </c>
      <c r="DU20" s="28">
        <f>VLOOKUP($A20,'OPEX - PAN'!$A$3:$AK$23,37,FALSE)</f>
        <v>5812912.2042007921</v>
      </c>
      <c r="DV20" s="28">
        <f>VLOOKUP($A20,'RECEITAS - PAN'!$A$3:$AK$23,37,FALSE)</f>
        <v>1611950.6596787944</v>
      </c>
      <c r="DW20" s="28">
        <f t="shared" si="29"/>
        <v>-4261904.6305675469</v>
      </c>
      <c r="DX20" s="31">
        <f t="shared" si="30"/>
        <v>43099222.500683226</v>
      </c>
      <c r="DY20" s="31">
        <f t="shared" si="31"/>
        <v>173395950.35831743</v>
      </c>
      <c r="DZ20" s="31">
        <f t="shared" si="32"/>
        <v>35442954.402997054</v>
      </c>
      <c r="EA20" s="31">
        <f t="shared" si="33"/>
        <v>-181052218.45600367</v>
      </c>
      <c r="EB20" s="29">
        <f>VLOOKUP(A20,'CAPEX - PAN'!$A$3:$AN$21,40,FALSE)</f>
        <v>1</v>
      </c>
      <c r="EC20" s="3">
        <f>VLOOKUP(A20,'BASE PAN - CAPEX'!$A$3:$H$22,8,FALSE)</f>
        <v>3</v>
      </c>
      <c r="ED20" s="31">
        <f t="shared" si="34"/>
        <v>-105946619.10691886</v>
      </c>
    </row>
    <row r="21" spans="1:134" s="17" customFormat="1" x14ac:dyDescent="0.25">
      <c r="A21" s="17" t="s">
        <v>321</v>
      </c>
      <c r="B21" s="30" t="str">
        <f>VLOOKUP(A21,'CAPEX - Navegação Aérea'!$A$3:$B$22,2,FALSE)</f>
        <v>AEROPORTO REGIONAL DE CANOA QUEBRADA DRAGÃO DO MAR</v>
      </c>
      <c r="C21" s="17">
        <f>VLOOKUP(A21,'[10]FLUXO DE CAIXA DESC.-BLOCOS PAN'!$A$3:$C$251,3,FALSE)</f>
        <v>230425</v>
      </c>
      <c r="D21" s="17" t="str">
        <f>VLOOKUP(A21,'[10]FLUXO DE CAIXA DESC.-BLOCOS PAN'!$A$3:$D$251,4,FALSE)</f>
        <v>SBJE230425</v>
      </c>
      <c r="E21" s="17" t="s">
        <v>322</v>
      </c>
      <c r="F21" s="17" t="s">
        <v>323</v>
      </c>
      <c r="G21" s="17" t="s">
        <v>28</v>
      </c>
      <c r="H21" s="28">
        <f>VLOOKUP($A21,'CAPEX - PAN'!$A$3:$H$23,8,FALSE)</f>
        <v>35552879.439999998</v>
      </c>
      <c r="I21" s="28">
        <f>VLOOKUP($A21,'OPEX - PAN'!$A$3:$H$23,8,FALSE)</f>
        <v>8152684.2662000004</v>
      </c>
      <c r="J21" s="28">
        <f>VLOOKUP($A21,'RECEITAS - PAN'!$A$3:$H$23,8,FALSE)</f>
        <v>3745728.7688000002</v>
      </c>
      <c r="K21" s="28">
        <f t="shared" si="0"/>
        <v>-39959834.937399998</v>
      </c>
      <c r="L21" s="28">
        <f>VLOOKUP($A21,'CAPEX - PAN'!$A$3:$I$21,9,FALSE)</f>
        <v>9031379.2188046239</v>
      </c>
      <c r="M21" s="28">
        <f>VLOOKUP($A21,'OPEX - PAN'!$A$3:$I$23,9,FALSE)</f>
        <v>8187925.6579999998</v>
      </c>
      <c r="N21" s="28">
        <f>VLOOKUP($A21,'RECEITAS - PAN'!$A$3:$I$23,9,FALSE)</f>
        <v>3965987.4674499999</v>
      </c>
      <c r="O21" s="28">
        <f t="shared" si="35"/>
        <v>-13253317.409354623</v>
      </c>
      <c r="P21" s="28">
        <f>VLOOKUP($A21,'CAPEX - PAN'!$A$3:$J$21,10,FALSE)</f>
        <v>8960000</v>
      </c>
      <c r="Q21" s="28">
        <f>VLOOKUP($A21,'OPEX - PAN'!$A$3:$J$23,10,FALSE)</f>
        <v>8216742.5283000004</v>
      </c>
      <c r="R21" s="28">
        <f>VLOOKUP($A21,'RECEITAS - PAN'!$A$3:$J$23,10,FALSE)</f>
        <v>4146092.9070000001</v>
      </c>
      <c r="S21" s="28">
        <f t="shared" si="2"/>
        <v>-13030649.621300001</v>
      </c>
      <c r="T21" s="28">
        <f>VLOOKUP($A21,'CAPEX - PAN'!$A$3:$K$21,11,FALSE)</f>
        <v>71379.218804624281</v>
      </c>
      <c r="U21" s="28">
        <f>VLOOKUP($A21,'OPEX - PAN'!$A$3:$K$23,11,FALSE)</f>
        <v>8242506.9885999998</v>
      </c>
      <c r="V21" s="28">
        <f>VLOOKUP($A21,'RECEITAS - PAN'!$A$3:$K$23,11,FALSE)</f>
        <v>8614241.5672999993</v>
      </c>
      <c r="W21" s="28">
        <f t="shared" si="3"/>
        <v>300355.35989537521</v>
      </c>
      <c r="X21" s="28">
        <f>VLOOKUP($A21,'CAPEX - PAN'!$A$3:$L$21,12,FALSE)</f>
        <v>336471.86</v>
      </c>
      <c r="Y21" s="28">
        <f>VLOOKUP($A21,'OPEX - PAN'!$A$3:$L$23,12,FALSE)</f>
        <v>8266037.0718999999</v>
      </c>
      <c r="Z21" s="28">
        <f>VLOOKUP($A21,'RECEITAS - PAN'!$A$3:$L$23,12,FALSE)</f>
        <v>8908367.6092000008</v>
      </c>
      <c r="AA21" s="28">
        <f t="shared" si="4"/>
        <v>305858.67730000091</v>
      </c>
      <c r="AB21" s="28">
        <f>VLOOKUP($A21,'CAPEX - PAN'!$A$3:$M$21,13,FALSE)</f>
        <v>71379.218804624281</v>
      </c>
      <c r="AC21" s="28">
        <f>VLOOKUP($A21,'OPEX - PAN'!$A$3:$M$23,13,FALSE)</f>
        <v>8288202.8031000001</v>
      </c>
      <c r="AD21" s="28">
        <f>VLOOKUP($A21,'RECEITAS - PAN'!$A$3:$M$23,13,FALSE)</f>
        <v>9185439.2489999998</v>
      </c>
      <c r="AE21" s="28">
        <f t="shared" si="5"/>
        <v>825857.22709537542</v>
      </c>
      <c r="AF21" s="28">
        <f>VLOOKUP($A21,'CAPEX - PAN'!$A$3:$N$21,14,FALSE)</f>
        <v>0</v>
      </c>
      <c r="AG21" s="28">
        <f>VLOOKUP($A21,'OPEX - PAN'!$A$3:$N$23,14,FALSE)</f>
        <v>8308276.9622999998</v>
      </c>
      <c r="AH21" s="28">
        <f>VLOOKUP($A21,'RECEITAS - PAN'!$A$3:$N$23,14,FALSE)</f>
        <v>9436366.2393999994</v>
      </c>
      <c r="AI21" s="28">
        <f t="shared" si="6"/>
        <v>1128089.2770999996</v>
      </c>
      <c r="AJ21" s="28">
        <f>VLOOKUP($A21,'CAPEX - PAN'!$A$3:$O$21,15,FALSE)</f>
        <v>407851.07880462427</v>
      </c>
      <c r="AK21" s="28">
        <f>VLOOKUP($A21,'OPEX - PAN'!$A$3:$O$23,15,FALSE)</f>
        <v>8326195.9601999996</v>
      </c>
      <c r="AL21" s="28">
        <f>VLOOKUP($A21,'RECEITAS - PAN'!$A$3:$O$23,15,FALSE)</f>
        <v>9660353.7134000007</v>
      </c>
      <c r="AM21" s="28">
        <f t="shared" si="7"/>
        <v>926306.67439537682</v>
      </c>
      <c r="AN21" s="28">
        <f>VLOOKUP($A21,'CAPEX - PAN'!$A$3:$P$21,16,FALSE)</f>
        <v>0</v>
      </c>
      <c r="AO21" s="28">
        <f>VLOOKUP($A21,'OPEX - PAN'!$A$3:$P$23,16,FALSE)</f>
        <v>8342291.0591000002</v>
      </c>
      <c r="AP21" s="28">
        <f>VLOOKUP($A21,'RECEITAS - PAN'!$A$3:$P$23,16,FALSE)</f>
        <v>9861542.4493000004</v>
      </c>
      <c r="AQ21" s="28">
        <f t="shared" si="8"/>
        <v>1519251.3902000003</v>
      </c>
      <c r="AR21" s="28">
        <f>VLOOKUP($A21,'CAPEX - PAN'!$A$3:$Q$21,17,FALSE)</f>
        <v>13647990.838804623</v>
      </c>
      <c r="AS21" s="28">
        <f>VLOOKUP($A21,'OPEX - PAN'!$A$3:$Q$23,17,FALSE)</f>
        <v>8358141.2825999996</v>
      </c>
      <c r="AT21" s="28">
        <f>VLOOKUP($A21,'RECEITAS - PAN'!$A$3:$Q$23,17,FALSE)</f>
        <v>10059670.2432</v>
      </c>
      <c r="AU21" s="28">
        <f t="shared" si="9"/>
        <v>-11946461.878204621</v>
      </c>
      <c r="AV21" s="28">
        <f>VLOOKUP($A21,'CAPEX - PAN'!$A$3:$R$21,18,FALSE)</f>
        <v>0</v>
      </c>
      <c r="AW21" s="28">
        <f>VLOOKUP($A21,'OPEX - PAN'!$A$3:$R$23,18,FALSE)</f>
        <v>8373554.6886</v>
      </c>
      <c r="AX21" s="28">
        <f>VLOOKUP($A21,'RECEITAS - PAN'!$A$3:$R$23,18,FALSE)</f>
        <v>10252337.817500001</v>
      </c>
      <c r="AY21" s="28">
        <f t="shared" si="10"/>
        <v>1878783.1289000008</v>
      </c>
      <c r="AZ21" s="28">
        <f>VLOOKUP($A21,'CAPEX - PAN'!$A$3:$S$21,19,FALSE)</f>
        <v>71379.218804624281</v>
      </c>
      <c r="BA21" s="28">
        <f>VLOOKUP($A21,'OPEX - PAN'!$A$3:$S$23,19,FALSE)</f>
        <v>8389280.8739</v>
      </c>
      <c r="BB21" s="28">
        <f>VLOOKUP($A21,'RECEITAS - PAN'!$A$3:$S$23,19,FALSE)</f>
        <v>10448915.134400001</v>
      </c>
      <c r="BC21" s="28">
        <f t="shared" si="11"/>
        <v>1988255.0416953764</v>
      </c>
      <c r="BD21" s="28">
        <f>VLOOKUP($A21,'CAPEX - PAN'!$A$3:$T$21,20,FALSE)</f>
        <v>0</v>
      </c>
      <c r="BE21" s="28">
        <f>VLOOKUP($A21,'OPEX - PAN'!$A$3:$T$23,20,FALSE)</f>
        <v>8404368.5856999997</v>
      </c>
      <c r="BF21" s="28">
        <f>VLOOKUP($A21,'RECEITAS - PAN'!$A$3:$T$23,20,FALSE)</f>
        <v>10637511.532099999</v>
      </c>
      <c r="BG21" s="28">
        <f t="shared" si="12"/>
        <v>2233142.9463999998</v>
      </c>
      <c r="BH21" s="28">
        <f>VLOOKUP($A21,'CAPEX - PAN'!$A$3:$U$21,21,FALSE)</f>
        <v>71379.218804624281</v>
      </c>
      <c r="BI21" s="28">
        <f>VLOOKUP($A21,'OPEX - PAN'!$A$3:$U$23,21,FALSE)</f>
        <v>8419654.0538999997</v>
      </c>
      <c r="BJ21" s="28">
        <f>VLOOKUP($A21,'RECEITAS - PAN'!$A$3:$U$23,21,FALSE)</f>
        <v>10828579.8837</v>
      </c>
      <c r="BK21" s="28">
        <f t="shared" si="13"/>
        <v>2337546.610995376</v>
      </c>
      <c r="BL21" s="28">
        <f>VLOOKUP($A21,'CAPEX - PAN'!$A$3:$V$21,22,FALSE)</f>
        <v>17721588.16</v>
      </c>
      <c r="BM21" s="28">
        <f>VLOOKUP($A21,'OPEX - PAN'!$A$3:$V$23,22,FALSE)</f>
        <v>8434574.9958999995</v>
      </c>
      <c r="BN21" s="28">
        <f>VLOOKUP($A21,'RECEITAS - PAN'!$A$3:$V$23,22,FALSE)</f>
        <v>11015091.659499999</v>
      </c>
      <c r="BO21" s="28">
        <f t="shared" si="14"/>
        <v>-15141071.496400001</v>
      </c>
      <c r="BP21" s="28">
        <f>VLOOKUP($A21,'CAPEX - PAN'!$A$3:$W$21,23,FALSE)</f>
        <v>71379.218804624281</v>
      </c>
      <c r="BQ21" s="28">
        <f>VLOOKUP($A21,'OPEX - PAN'!$A$3:$W$23,23,FALSE)</f>
        <v>8449861.2679999992</v>
      </c>
      <c r="BR21" s="28">
        <f>VLOOKUP($A21,'RECEITAS - PAN'!$A$3:$W$23,23,FALSE)</f>
        <v>11206170.060799999</v>
      </c>
      <c r="BS21" s="28">
        <f t="shared" si="15"/>
        <v>2684929.5739953755</v>
      </c>
      <c r="BT21" s="28">
        <f>VLOOKUP($A21,'CAPEX - PAN'!$A$3:$X$21,24,FALSE)</f>
        <v>0</v>
      </c>
      <c r="BU21" s="28">
        <f>VLOOKUP($A21,'OPEX - PAN'!$A$3:$X$23,24,FALSE)</f>
        <v>8465167.5112999994</v>
      </c>
      <c r="BV21" s="28">
        <f>VLOOKUP($A21,'RECEITAS - PAN'!$A$3:$X$23,24,FALSE)</f>
        <v>11397498.1018</v>
      </c>
      <c r="BW21" s="28">
        <f t="shared" si="16"/>
        <v>2932330.5905000009</v>
      </c>
      <c r="BX21" s="28">
        <f>VLOOKUP($A21,'CAPEX - PAN'!$A$3:$Y$21,25,FALSE)</f>
        <v>407851.07880462427</v>
      </c>
      <c r="BY21" s="28">
        <f>VLOOKUP($A21,'OPEX - PAN'!$A$3:$Y$23,25,FALSE)</f>
        <v>8480487.2949000001</v>
      </c>
      <c r="BZ21" s="28">
        <f>VLOOKUP($A21,'RECEITAS - PAN'!$A$3:$Y$23,25,FALSE)</f>
        <v>11588995.397</v>
      </c>
      <c r="CA21" s="28">
        <f t="shared" si="17"/>
        <v>2700657.0232953755</v>
      </c>
      <c r="CB21" s="28">
        <f>VLOOKUP($A21,'CAPEX - PAN'!$A$3:$Z$21,26,FALSE)</f>
        <v>0</v>
      </c>
      <c r="CC21" s="28">
        <f>VLOOKUP($A21,'OPEX - PAN'!$A$3:$Z$23,26,FALSE)</f>
        <v>8494974.2778999992</v>
      </c>
      <c r="CD21" s="28">
        <f>VLOOKUP($A21,'RECEITAS - PAN'!$A$3:$Z$23,26,FALSE)</f>
        <v>11770082.6845</v>
      </c>
      <c r="CE21" s="28">
        <f t="shared" si="18"/>
        <v>3275108.4066000003</v>
      </c>
      <c r="CF21" s="28">
        <f>VLOOKUP($A21,'CAPEX - PAN'!$A$3:$AA$21,27,FALSE)</f>
        <v>13647990.838804623</v>
      </c>
      <c r="CG21" s="28">
        <f>VLOOKUP($A21,'OPEX - PAN'!$A$3:$AA$23,27,FALSE)</f>
        <v>8509540.8875999991</v>
      </c>
      <c r="CH21" s="28">
        <f>VLOOKUP($A21,'RECEITAS - PAN'!$A$3:$AA$23,27,FALSE)</f>
        <v>11952165.3051</v>
      </c>
      <c r="CI21" s="28">
        <f t="shared" si="19"/>
        <v>-10205366.421304623</v>
      </c>
      <c r="CJ21" s="28">
        <f>VLOOKUP($A21,'CAPEX - PAN'!$A$3:$AB$21,28,FALSE)</f>
        <v>0</v>
      </c>
      <c r="CK21" s="28">
        <f>VLOOKUP($A21,'OPEX - PAN'!$A$3:$AB$23,28,FALSE)</f>
        <v>8523539.1666999999</v>
      </c>
      <c r="CL21" s="28">
        <f>VLOOKUP($A21,'RECEITAS - PAN'!$A$3:$AB$23,28,FALSE)</f>
        <v>12127143.793400001</v>
      </c>
      <c r="CM21" s="28">
        <f t="shared" si="20"/>
        <v>3603604.6267000008</v>
      </c>
      <c r="CN21" s="28">
        <f>VLOOKUP($A21,'CAPEX - PAN'!$A$3:$AC$21,29,FALSE)</f>
        <v>71379.218804624281</v>
      </c>
      <c r="CO21" s="28">
        <f>VLOOKUP($A21,'OPEX - PAN'!$A$3:$AC$23,29,FALSE)</f>
        <v>8536736.9188000001</v>
      </c>
      <c r="CP21" s="28">
        <f>VLOOKUP($A21,'RECEITAS - PAN'!$A$3:$AC$23,29,FALSE)</f>
        <v>12292115.6953</v>
      </c>
      <c r="CQ21" s="28">
        <f t="shared" si="21"/>
        <v>3683999.5576953753</v>
      </c>
      <c r="CR21" s="28">
        <f>VLOOKUP($A21,'CAPEX - PAN'!$A$3:$AD$21,30,FALSE)</f>
        <v>0</v>
      </c>
      <c r="CS21" s="28">
        <f>VLOOKUP($A21,'OPEX - PAN'!$A$3:$AD$23,30,FALSE)</f>
        <v>8549240.9931000005</v>
      </c>
      <c r="CT21" s="28">
        <f>VLOOKUP($A21,'RECEITAS - PAN'!$A$3:$AD$23,30,FALSE)</f>
        <v>12448416.6237</v>
      </c>
      <c r="CU21" s="28">
        <f t="shared" si="22"/>
        <v>3899175.6305999998</v>
      </c>
      <c r="CV21" s="28">
        <f>VLOOKUP($A21,'CAPEX - PAN'!$A$3:$AE$21,31,FALSE)</f>
        <v>71379.218804624281</v>
      </c>
      <c r="CW21" s="28">
        <f>VLOOKUP($A21,'OPEX - PAN'!$A$3:$AE$23,31,FALSE)</f>
        <v>8561593.4077000003</v>
      </c>
      <c r="CX21" s="28">
        <f>VLOOKUP($A21,'RECEITAS - PAN'!$A$3:$AE$23,31,FALSE)</f>
        <v>12602821.8069</v>
      </c>
      <c r="CY21" s="28">
        <f t="shared" si="23"/>
        <v>3969849.1803953755</v>
      </c>
      <c r="CZ21" s="28">
        <f>VLOOKUP($A21,'CAPEX - PAN'!$A$3:$AF$21,32,FALSE)</f>
        <v>336471.86</v>
      </c>
      <c r="DA21" s="28">
        <f>VLOOKUP($A21,'OPEX - PAN'!$A$3:$AF$23,32,FALSE)</f>
        <v>8572864.3159999996</v>
      </c>
      <c r="DB21" s="28">
        <f>VLOOKUP($A21,'RECEITAS - PAN'!$A$3:$AF$23,32,FALSE)</f>
        <v>12743708.1609</v>
      </c>
      <c r="DC21" s="28">
        <f t="shared" si="24"/>
        <v>3834371.984900001</v>
      </c>
      <c r="DD21" s="28">
        <f>VLOOKUP($A21,'CAPEX - PAN'!$A$3:$AG$21,33,FALSE)</f>
        <v>71379.218804624281</v>
      </c>
      <c r="DE21" s="28">
        <f>VLOOKUP($A21,'OPEX - PAN'!$A$3:$AG$23,33,FALSE)</f>
        <v>8583907.9000000004</v>
      </c>
      <c r="DF21" s="28">
        <f>VLOOKUP($A21,'RECEITAS - PAN'!$A$3:$AG$23,33,FALSE)</f>
        <v>12881752.960100001</v>
      </c>
      <c r="DG21" s="28">
        <f t="shared" si="25"/>
        <v>4226465.8412953764</v>
      </c>
      <c r="DH21" s="28">
        <f>VLOOKUP($A21,'CAPEX - PAN'!$A$3:$AH$21,34,FALSE)</f>
        <v>0</v>
      </c>
      <c r="DI21" s="28">
        <f>VLOOKUP($A21,'OPEX - PAN'!$A$3:$AH$23,34,FALSE)</f>
        <v>8595164.7067000009</v>
      </c>
      <c r="DJ21" s="28">
        <f>VLOOKUP($A21,'RECEITAS - PAN'!$A$3:$AH$23,34,FALSE)</f>
        <v>13022463.044199999</v>
      </c>
      <c r="DK21" s="28">
        <f t="shared" si="26"/>
        <v>4427298.3374999985</v>
      </c>
      <c r="DL21" s="28">
        <f>VLOOKUP($A21,'CAPEX - PAN'!$A$3:$AI$21,35,FALSE)</f>
        <v>407851.07880462427</v>
      </c>
      <c r="DM21" s="28">
        <f>VLOOKUP($A21,'OPEX - PAN'!$A$3:$AI$23,35,FALSE)</f>
        <v>8606499.5614999998</v>
      </c>
      <c r="DN21" s="28">
        <f>VLOOKUP($A21,'RECEITAS - PAN'!$A$3:$AI$23,35,FALSE)</f>
        <v>13164148.729599999</v>
      </c>
      <c r="DO21" s="28">
        <f t="shared" si="27"/>
        <v>4149798.0892953752</v>
      </c>
      <c r="DP21" s="28">
        <f>VLOOKUP($A21,'CAPEX - PAN'!$A$3:$AJ$21,36,FALSE)</f>
        <v>0</v>
      </c>
      <c r="DQ21" s="28">
        <f>VLOOKUP($A21,'OPEX - PAN'!$A$3:$AJ$23,36,FALSE)</f>
        <v>8646716.7724007964</v>
      </c>
      <c r="DR21" s="28">
        <f>VLOOKUP($A21,'RECEITAS - PAN'!$A$3:$AJ$23,36,FALSE)</f>
        <v>13666863.865548432</v>
      </c>
      <c r="DS21" s="28">
        <f t="shared" si="28"/>
        <v>5020147.0931476355</v>
      </c>
      <c r="DT21" s="28">
        <f>VLOOKUP($A21,'CAPEX - PAN'!$A$3:$AK$21,37,FALSE)</f>
        <v>71379.218804624281</v>
      </c>
      <c r="DU21" s="28">
        <f>VLOOKUP($A21,'OPEX - PAN'!$A$3:$AK$23,37,FALSE)</f>
        <v>8658841.6023747213</v>
      </c>
      <c r="DV21" s="28">
        <f>VLOOKUP($A21,'RECEITAS - PAN'!$A$3:$AK$23,37,FALSE)</f>
        <v>13818424.240215659</v>
      </c>
      <c r="DW21" s="28">
        <f t="shared" si="29"/>
        <v>5088203.4190363139</v>
      </c>
      <c r="DX21" s="31">
        <f t="shared" si="30"/>
        <v>101100738.42206939</v>
      </c>
      <c r="DY21" s="31">
        <f t="shared" si="31"/>
        <v>252945574.36327559</v>
      </c>
      <c r="DZ21" s="31">
        <f t="shared" si="32"/>
        <v>317448996.71031404</v>
      </c>
      <c r="EA21" s="31">
        <f t="shared" si="33"/>
        <v>-36597316.075030804</v>
      </c>
      <c r="EB21" s="29">
        <f>VLOOKUP(A21,'CAPEX - PAN'!$A$3:$AN$21,40,FALSE)</f>
        <v>4</v>
      </c>
      <c r="EC21" s="3">
        <f>VLOOKUP(A21,'BASE PAN - CAPEX'!$A$3:$H$22,8,FALSE)</f>
        <v>4</v>
      </c>
      <c r="ED21" s="31">
        <f t="shared" si="34"/>
        <v>-79887889.00868237</v>
      </c>
    </row>
    <row r="22" spans="1:134" x14ac:dyDescent="0.25">
      <c r="G22" s="15" t="s">
        <v>121</v>
      </c>
      <c r="H22" s="27">
        <f t="shared" ref="H22:J22" si="36">SUBTOTAL(109,H3:H21)</f>
        <v>337818225.28000003</v>
      </c>
      <c r="I22" s="27">
        <f t="shared" si="36"/>
        <v>64676229.400599994</v>
      </c>
      <c r="J22" s="27">
        <f t="shared" si="36"/>
        <v>12340140.76575</v>
      </c>
      <c r="K22" s="27">
        <f t="shared" ref="K22:DW22" si="37">SUBTOTAL(109,K3:K21)</f>
        <v>-390154313.91485006</v>
      </c>
      <c r="L22" s="27">
        <f t="shared" si="37"/>
        <v>246759503.72231185</v>
      </c>
      <c r="M22" s="27">
        <f t="shared" si="37"/>
        <v>64807559.820899986</v>
      </c>
      <c r="N22" s="27">
        <f t="shared" si="37"/>
        <v>13153093.257300001</v>
      </c>
      <c r="O22" s="27">
        <f t="shared" si="37"/>
        <v>-298413970.28591186</v>
      </c>
      <c r="P22" s="27">
        <f t="shared" si="37"/>
        <v>245821000</v>
      </c>
      <c r="Q22" s="27">
        <f t="shared" si="37"/>
        <v>64912659.434199996</v>
      </c>
      <c r="R22" s="27">
        <f t="shared" si="37"/>
        <v>13803390.874499997</v>
      </c>
      <c r="S22" s="27">
        <f t="shared" si="37"/>
        <v>-296930268.55969995</v>
      </c>
      <c r="T22" s="27">
        <f t="shared" si="37"/>
        <v>938503.72231178032</v>
      </c>
      <c r="U22" s="27">
        <f t="shared" si="37"/>
        <v>65006963.783600003</v>
      </c>
      <c r="V22" s="27">
        <f t="shared" si="37"/>
        <v>28773037.660300002</v>
      </c>
      <c r="W22" s="27">
        <f t="shared" si="37"/>
        <v>-37172429.845611781</v>
      </c>
      <c r="X22" s="27">
        <f t="shared" si="37"/>
        <v>3629923.4699999997</v>
      </c>
      <c r="Y22" s="27">
        <f t="shared" si="37"/>
        <v>65094044.535900004</v>
      </c>
      <c r="Z22" s="27">
        <f t="shared" si="37"/>
        <v>29849272.309900001</v>
      </c>
      <c r="AA22" s="27">
        <f t="shared" si="37"/>
        <v>-38874695.69600001</v>
      </c>
      <c r="AB22" s="27">
        <f t="shared" si="37"/>
        <v>938503.72231178032</v>
      </c>
      <c r="AC22" s="27">
        <f t="shared" si="37"/>
        <v>65176790.91489999</v>
      </c>
      <c r="AD22" s="27">
        <f t="shared" si="37"/>
        <v>30873268.469599999</v>
      </c>
      <c r="AE22" s="27">
        <f t="shared" si="37"/>
        <v>-35242026.167611778</v>
      </c>
      <c r="AF22" s="27">
        <f t="shared" si="37"/>
        <v>0</v>
      </c>
      <c r="AG22" s="27">
        <f t="shared" si="37"/>
        <v>65255926.289200015</v>
      </c>
      <c r="AH22" s="27">
        <f t="shared" si="37"/>
        <v>31850415.390999999</v>
      </c>
      <c r="AI22" s="27">
        <f t="shared" si="37"/>
        <v>-33405510.898200002</v>
      </c>
      <c r="AJ22" s="27">
        <f t="shared" si="37"/>
        <v>4568427.1923117805</v>
      </c>
      <c r="AK22" s="27">
        <f t="shared" si="37"/>
        <v>65329929.895700008</v>
      </c>
      <c r="AL22" s="27">
        <f t="shared" si="37"/>
        <v>32763837.633999996</v>
      </c>
      <c r="AM22" s="27">
        <f t="shared" si="37"/>
        <v>-37134519.454011783</v>
      </c>
      <c r="AN22" s="27">
        <f t="shared" si="37"/>
        <v>0</v>
      </c>
      <c r="AO22" s="27">
        <f t="shared" si="37"/>
        <v>65395385.710500009</v>
      </c>
      <c r="AP22" s="27">
        <f t="shared" si="37"/>
        <v>33572919.348099999</v>
      </c>
      <c r="AQ22" s="27">
        <f t="shared" si="37"/>
        <v>-31822466.362399995</v>
      </c>
      <c r="AR22" s="27">
        <f t="shared" si="37"/>
        <v>156390390.45231175</v>
      </c>
      <c r="AS22" s="27">
        <f t="shared" si="37"/>
        <v>65464140.363899998</v>
      </c>
      <c r="AT22" s="27">
        <f t="shared" si="37"/>
        <v>34421109.704800002</v>
      </c>
      <c r="AU22" s="27">
        <f t="shared" si="37"/>
        <v>-187433421.11141178</v>
      </c>
      <c r="AV22" s="27">
        <f t="shared" si="37"/>
        <v>0</v>
      </c>
      <c r="AW22" s="27">
        <f t="shared" si="37"/>
        <v>65528488.906300008</v>
      </c>
      <c r="AX22" s="27">
        <f t="shared" si="37"/>
        <v>35216348.142300002</v>
      </c>
      <c r="AY22" s="27">
        <f t="shared" si="37"/>
        <v>-30312140.763999999</v>
      </c>
      <c r="AZ22" s="27">
        <f t="shared" si="37"/>
        <v>938503.72231178032</v>
      </c>
      <c r="BA22" s="27">
        <f t="shared" si="37"/>
        <v>65598725.463899985</v>
      </c>
      <c r="BB22" s="27">
        <f t="shared" si="37"/>
        <v>36082879.193699993</v>
      </c>
      <c r="BC22" s="27">
        <f t="shared" si="37"/>
        <v>-30454349.992511783</v>
      </c>
      <c r="BD22" s="27">
        <f t="shared" si="37"/>
        <v>0</v>
      </c>
      <c r="BE22" s="27">
        <f t="shared" si="37"/>
        <v>65663429.552899994</v>
      </c>
      <c r="BF22" s="27">
        <f t="shared" si="37"/>
        <v>36882524.639200002</v>
      </c>
      <c r="BG22" s="27">
        <f t="shared" si="37"/>
        <v>-28780904.913700007</v>
      </c>
      <c r="BH22" s="27">
        <f t="shared" si="37"/>
        <v>938503.72231178032</v>
      </c>
      <c r="BI22" s="27">
        <f t="shared" si="37"/>
        <v>65730271.601799995</v>
      </c>
      <c r="BJ22" s="27">
        <f t="shared" si="37"/>
        <v>37708778.502299994</v>
      </c>
      <c r="BK22" s="27">
        <f t="shared" si="37"/>
        <v>-28959996.821811792</v>
      </c>
      <c r="BL22" s="27">
        <f t="shared" si="37"/>
        <v>118823404.04000001</v>
      </c>
      <c r="BM22" s="27">
        <f t="shared" si="37"/>
        <v>65798329.448400006</v>
      </c>
      <c r="BN22" s="27">
        <f t="shared" si="37"/>
        <v>38548004.198599994</v>
      </c>
      <c r="BO22" s="27">
        <f t="shared" si="37"/>
        <v>-146073729.28979999</v>
      </c>
      <c r="BP22" s="27">
        <f t="shared" si="37"/>
        <v>938503.72231178032</v>
      </c>
      <c r="BQ22" s="27">
        <f t="shared" si="37"/>
        <v>65866757.640599996</v>
      </c>
      <c r="BR22" s="27">
        <f t="shared" si="37"/>
        <v>39393881.551100001</v>
      </c>
      <c r="BS22" s="27">
        <f t="shared" si="37"/>
        <v>-27411379.811811782</v>
      </c>
      <c r="BT22" s="27">
        <f t="shared" si="37"/>
        <v>0</v>
      </c>
      <c r="BU22" s="27">
        <f t="shared" si="37"/>
        <v>65936634.688599981</v>
      </c>
      <c r="BV22" s="27">
        <f t="shared" si="37"/>
        <v>40255548.891400009</v>
      </c>
      <c r="BW22" s="27">
        <f t="shared" si="37"/>
        <v>-25681085.797199998</v>
      </c>
      <c r="BX22" s="27">
        <f t="shared" si="37"/>
        <v>4568427.1923117805</v>
      </c>
      <c r="BY22" s="27">
        <f t="shared" si="37"/>
        <v>66006662.40640001</v>
      </c>
      <c r="BZ22" s="27">
        <f t="shared" si="37"/>
        <v>41121180.847499996</v>
      </c>
      <c r="CA22" s="27">
        <f t="shared" si="37"/>
        <v>-29453908.751211781</v>
      </c>
      <c r="CB22" s="27">
        <f t="shared" si="37"/>
        <v>0</v>
      </c>
      <c r="CC22" s="27">
        <f t="shared" si="37"/>
        <v>66076032.014600009</v>
      </c>
      <c r="CD22" s="27">
        <f t="shared" si="37"/>
        <v>41976524.462100007</v>
      </c>
      <c r="CE22" s="27">
        <f t="shared" si="37"/>
        <v>-24099507.552499995</v>
      </c>
      <c r="CF22" s="27">
        <f t="shared" si="37"/>
        <v>156390390.45231175</v>
      </c>
      <c r="CG22" s="27">
        <f t="shared" si="37"/>
        <v>66144707.483199991</v>
      </c>
      <c r="CH22" s="27">
        <f t="shared" si="37"/>
        <v>42825390.619300008</v>
      </c>
      <c r="CI22" s="27">
        <f t="shared" si="37"/>
        <v>-179709707.31621173</v>
      </c>
      <c r="CJ22" s="27">
        <f t="shared" si="37"/>
        <v>0</v>
      </c>
      <c r="CK22" s="27">
        <f t="shared" si="37"/>
        <v>66214743.448099993</v>
      </c>
      <c r="CL22" s="27">
        <f t="shared" si="37"/>
        <v>43688994.573200002</v>
      </c>
      <c r="CM22" s="27">
        <f t="shared" si="37"/>
        <v>-22525748.874899998</v>
      </c>
      <c r="CN22" s="27">
        <f t="shared" si="37"/>
        <v>938503.72231178032</v>
      </c>
      <c r="CO22" s="27">
        <f t="shared" si="37"/>
        <v>66279464.311100006</v>
      </c>
      <c r="CP22" s="27">
        <f t="shared" si="37"/>
        <v>44488558.931900002</v>
      </c>
      <c r="CQ22" s="27">
        <f t="shared" si="37"/>
        <v>-22729409.101511784</v>
      </c>
      <c r="CR22" s="27">
        <f t="shared" si="37"/>
        <v>0</v>
      </c>
      <c r="CS22" s="27">
        <f t="shared" si="37"/>
        <v>66345221.463000007</v>
      </c>
      <c r="CT22" s="27">
        <f t="shared" si="37"/>
        <v>45298875.847100005</v>
      </c>
      <c r="CU22" s="27">
        <f t="shared" si="37"/>
        <v>-21046345.615900002</v>
      </c>
      <c r="CV22" s="27">
        <f t="shared" si="37"/>
        <v>938503.72231178032</v>
      </c>
      <c r="CW22" s="27">
        <f t="shared" si="37"/>
        <v>66409461.989100009</v>
      </c>
      <c r="CX22" s="27">
        <f t="shared" si="37"/>
        <v>46092580.355599999</v>
      </c>
      <c r="CY22" s="27">
        <f t="shared" si="37"/>
        <v>-21255385.355811782</v>
      </c>
      <c r="CZ22" s="27">
        <f t="shared" si="37"/>
        <v>3629923.4699999997</v>
      </c>
      <c r="DA22" s="27">
        <f t="shared" si="37"/>
        <v>66472667.154100008</v>
      </c>
      <c r="DB22" s="27">
        <f t="shared" si="37"/>
        <v>46871252.711800009</v>
      </c>
      <c r="DC22" s="27">
        <f t="shared" si="37"/>
        <v>-23231337.912300002</v>
      </c>
      <c r="DD22" s="27">
        <f t="shared" si="37"/>
        <v>938503.72231178032</v>
      </c>
      <c r="DE22" s="27">
        <f t="shared" si="37"/>
        <v>66534655.1778</v>
      </c>
      <c r="DF22" s="27">
        <f t="shared" si="37"/>
        <v>47637057.305500008</v>
      </c>
      <c r="DG22" s="27">
        <f t="shared" si="37"/>
        <v>-19836101.594611783</v>
      </c>
      <c r="DH22" s="27">
        <f t="shared" si="37"/>
        <v>0</v>
      </c>
      <c r="DI22" s="27">
        <f t="shared" si="37"/>
        <v>66597746.823900014</v>
      </c>
      <c r="DJ22" s="27">
        <f t="shared" si="37"/>
        <v>48416539.534800008</v>
      </c>
      <c r="DK22" s="27">
        <f t="shared" si="37"/>
        <v>-18181207.289099991</v>
      </c>
      <c r="DL22" s="27">
        <f t="shared" si="37"/>
        <v>4568427.1923117805</v>
      </c>
      <c r="DM22" s="27">
        <f t="shared" si="37"/>
        <v>66661963.920100003</v>
      </c>
      <c r="DN22" s="27">
        <f t="shared" si="37"/>
        <v>49209971.207000002</v>
      </c>
      <c r="DO22" s="27">
        <f t="shared" si="37"/>
        <v>-22020419.905411776</v>
      </c>
      <c r="DP22" s="27">
        <f t="shared" si="37"/>
        <v>0</v>
      </c>
      <c r="DQ22" s="27">
        <f t="shared" si="37"/>
        <v>66771832.489296034</v>
      </c>
      <c r="DR22" s="27">
        <f t="shared" si="37"/>
        <v>50568774.124341272</v>
      </c>
      <c r="DS22" s="27">
        <f t="shared" si="37"/>
        <v>-16203058.364954758</v>
      </c>
      <c r="DT22" s="27">
        <f t="shared" si="37"/>
        <v>938503.72231178032</v>
      </c>
      <c r="DU22" s="27">
        <f t="shared" si="37"/>
        <v>66832703.006518483</v>
      </c>
      <c r="DV22" s="27">
        <f t="shared" si="37"/>
        <v>51319795.931690075</v>
      </c>
      <c r="DW22" s="27">
        <f t="shared" si="37"/>
        <v>-16451410.797140196</v>
      </c>
      <c r="DX22" s="27">
        <f t="shared" ref="DX22:DZ22" si="38">SUBTOTAL(109,DX3:DX21)</f>
        <v>1291414575.9646766</v>
      </c>
      <c r="DY22" s="27">
        <f t="shared" si="38"/>
        <v>1974590129.1391141</v>
      </c>
      <c r="DZ22" s="27">
        <f t="shared" si="38"/>
        <v>1125003946.9856813</v>
      </c>
      <c r="EA22" s="63">
        <f>SUBTOTAL(109,EA3:EA21)</f>
        <v>-2141000758.1181099</v>
      </c>
      <c r="EC22" s="3"/>
      <c r="ED22" s="63">
        <f>SUBTOTAL(109,ED3:ED21)</f>
        <v>-1651164744.0775328</v>
      </c>
    </row>
    <row r="23" spans="1:134" x14ac:dyDescent="0.25">
      <c r="G23" s="15" t="s">
        <v>160</v>
      </c>
      <c r="H23" s="15"/>
      <c r="I23" s="15"/>
      <c r="J23" s="15"/>
      <c r="K23" s="27">
        <f>K22</f>
        <v>-390154313.91485006</v>
      </c>
      <c r="L23" s="27"/>
      <c r="M23" s="27"/>
      <c r="N23" s="27"/>
      <c r="O23" s="27">
        <f>K23+O22</f>
        <v>-688568284.20076191</v>
      </c>
      <c r="P23" s="27"/>
      <c r="Q23" s="27"/>
      <c r="R23" s="27"/>
      <c r="S23" s="27">
        <f>O23+S22</f>
        <v>-985498552.76046181</v>
      </c>
      <c r="T23" s="27"/>
      <c r="U23" s="27"/>
      <c r="V23" s="27"/>
      <c r="W23" s="27">
        <f>S23+W22</f>
        <v>-1022670982.6060736</v>
      </c>
      <c r="X23" s="27"/>
      <c r="Y23" s="27"/>
      <c r="Z23" s="27"/>
      <c r="AA23" s="27">
        <f>W23+AA22</f>
        <v>-1061545678.3020736</v>
      </c>
      <c r="AB23" s="27"/>
      <c r="AC23" s="27"/>
      <c r="AD23" s="27"/>
      <c r="AE23" s="27">
        <f>AA23+AE22</f>
        <v>-1096787704.4696853</v>
      </c>
      <c r="AF23" s="27"/>
      <c r="AG23" s="27"/>
      <c r="AH23" s="27"/>
      <c r="AI23" s="27">
        <f>AE23+AI22</f>
        <v>-1130193215.3678854</v>
      </c>
      <c r="AJ23" s="27"/>
      <c r="AK23" s="27"/>
      <c r="AL23" s="27"/>
      <c r="AM23" s="27">
        <f>AI23+AM22</f>
        <v>-1167327734.821897</v>
      </c>
      <c r="AN23" s="27"/>
      <c r="AO23" s="27"/>
      <c r="AP23" s="27"/>
      <c r="AQ23" s="27">
        <f>AM23+AQ22</f>
        <v>-1199150201.1842971</v>
      </c>
      <c r="AR23" s="27"/>
      <c r="AS23" s="27"/>
      <c r="AT23" s="27"/>
      <c r="AU23" s="27">
        <f>AQ23+AU22</f>
        <v>-1386583622.2957089</v>
      </c>
      <c r="AV23" s="27"/>
      <c r="AW23" s="27"/>
      <c r="AX23" s="27"/>
      <c r="AY23" s="27">
        <f>AU23+AY22</f>
        <v>-1416895763.0597088</v>
      </c>
      <c r="AZ23" s="27"/>
      <c r="BA23" s="27"/>
      <c r="BB23" s="27"/>
      <c r="BC23" s="27">
        <f>AY23+BC22</f>
        <v>-1447350113.0522206</v>
      </c>
      <c r="BD23" s="27"/>
      <c r="BE23" s="27"/>
      <c r="BF23" s="27"/>
      <c r="BG23" s="27">
        <f>BC23+BG22</f>
        <v>-1476131017.9659207</v>
      </c>
      <c r="BH23" s="27"/>
      <c r="BI23" s="27"/>
      <c r="BJ23" s="27"/>
      <c r="BK23" s="27">
        <f>BG23+BK22</f>
        <v>-1505091014.7877324</v>
      </c>
      <c r="BL23" s="27"/>
      <c r="BM23" s="27"/>
      <c r="BN23" s="27"/>
      <c r="BO23" s="27">
        <f>BK23+BO22</f>
        <v>-1651164744.0775323</v>
      </c>
      <c r="BP23" s="27"/>
      <c r="BQ23" s="27"/>
      <c r="BR23" s="27"/>
      <c r="BS23" s="27">
        <f>BO23+BS22</f>
        <v>-1678576123.889344</v>
      </c>
      <c r="BT23" s="27"/>
      <c r="BU23" s="27"/>
      <c r="BV23" s="27"/>
      <c r="BW23" s="27">
        <f>BS23+BW22</f>
        <v>-1704257209.6865439</v>
      </c>
      <c r="BX23" s="27"/>
      <c r="BY23" s="27"/>
      <c r="BZ23" s="27"/>
      <c r="CA23" s="27">
        <f>BW23+CA22</f>
        <v>-1733711118.4377558</v>
      </c>
      <c r="CB23" s="27"/>
      <c r="CC23" s="27"/>
      <c r="CD23" s="27"/>
      <c r="CE23" s="27">
        <f>CA23+CE22</f>
        <v>-1757810625.9902558</v>
      </c>
      <c r="CF23" s="27"/>
      <c r="CG23" s="27"/>
      <c r="CH23" s="27"/>
      <c r="CI23" s="27">
        <f>CE23+CI22</f>
        <v>-1937520333.3064675</v>
      </c>
      <c r="CJ23" s="27"/>
      <c r="CK23" s="27"/>
      <c r="CL23" s="27"/>
      <c r="CM23" s="27">
        <f>CI23+CM22</f>
        <v>-1960046082.1813676</v>
      </c>
      <c r="CN23" s="27"/>
      <c r="CO23" s="27"/>
      <c r="CP23" s="27"/>
      <c r="CQ23" s="27">
        <f>CM23+CQ22</f>
        <v>-1982775491.2828794</v>
      </c>
      <c r="CR23" s="27"/>
      <c r="CS23" s="27"/>
      <c r="CT23" s="27"/>
      <c r="CU23" s="27">
        <f>CQ23+CU22</f>
        <v>-2003821836.8987794</v>
      </c>
      <c r="CV23" s="27"/>
      <c r="CW23" s="27"/>
      <c r="CX23" s="27"/>
      <c r="CY23" s="27">
        <f>CU23+CY22</f>
        <v>-2025077222.2545912</v>
      </c>
      <c r="CZ23" s="27"/>
      <c r="DA23" s="27"/>
      <c r="DB23" s="27"/>
      <c r="DC23" s="27">
        <f>CY23+DC22</f>
        <v>-2048308560.1668913</v>
      </c>
      <c r="DD23" s="27"/>
      <c r="DE23" s="27"/>
      <c r="DF23" s="27"/>
      <c r="DG23" s="27">
        <f>DC23+DG22</f>
        <v>-2068144661.7615032</v>
      </c>
      <c r="DH23" s="27"/>
      <c r="DI23" s="27"/>
      <c r="DJ23" s="27"/>
      <c r="DK23" s="27">
        <f>DG23+DK22</f>
        <v>-2086325869.0506032</v>
      </c>
      <c r="DL23" s="27"/>
      <c r="DM23" s="27"/>
      <c r="DN23" s="27"/>
      <c r="DO23" s="27">
        <f>DK23+DO22</f>
        <v>-2108346288.9560149</v>
      </c>
      <c r="DP23" s="27"/>
      <c r="DQ23" s="27"/>
      <c r="DR23" s="27"/>
      <c r="DS23" s="27">
        <f>DO23+DS22</f>
        <v>-2124549347.3209696</v>
      </c>
      <c r="DT23" s="27"/>
      <c r="DU23" s="27"/>
      <c r="DV23" s="27"/>
      <c r="DW23" s="27">
        <f t="shared" ref="DW23" si="39">DS23+DW22</f>
        <v>-2141000758.1181097</v>
      </c>
      <c r="DX23" s="27"/>
      <c r="DY23" s="27"/>
      <c r="DZ23" s="27"/>
    </row>
    <row r="25" spans="1:134" x14ac:dyDescent="0.25">
      <c r="J25" s="1">
        <f>J4*2</f>
        <v>1076881.0519999999</v>
      </c>
      <c r="N25" s="1">
        <f>N4*2</f>
        <v>1139776.9025999999</v>
      </c>
      <c r="R25" s="1">
        <f>R4*2</f>
        <v>1193154.3965</v>
      </c>
    </row>
    <row r="28" spans="1:134" x14ac:dyDescent="0.25">
      <c r="A28" s="23" t="s">
        <v>146</v>
      </c>
    </row>
  </sheetData>
  <autoFilter ref="A2:EA23" xr:uid="{7465DE03-B81E-45D9-A69D-479AC3B51F78}"/>
  <conditionalFormatting sqref="D3:D16">
    <cfRule type="duplicateValues" dxfId="8" priority="2"/>
  </conditionalFormatting>
  <hyperlinks>
    <hyperlink ref="A28" location="Introdução!A1" display="Introdução!A1" xr:uid="{FD40F152-ECA1-4810-B5DB-EA1B9741D64D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C9C07-6709-46B2-80CF-1F4B955233A0}">
  <sheetPr codeName="Planilha8">
    <tabColor rgb="FF00B0F0"/>
  </sheetPr>
  <dimension ref="A1:AV28"/>
  <sheetViews>
    <sheetView zoomScale="90" zoomScaleNormal="90" workbookViewId="0">
      <pane xSplit="5" topLeftCell="F1" activePane="topRight" state="frozen"/>
      <selection activeCell="AB37" sqref="AB37"/>
      <selection pane="topRight" activeCell="A28" sqref="A28"/>
    </sheetView>
  </sheetViews>
  <sheetFormatPr defaultRowHeight="15" x14ac:dyDescent="0.25"/>
  <cols>
    <col min="1" max="1" width="8.28515625" customWidth="1"/>
    <col min="2" max="2" width="28.5703125" customWidth="1"/>
    <col min="3" max="3" width="13.140625" bestFit="1" customWidth="1"/>
    <col min="4" max="4" width="23.5703125" bestFit="1" customWidth="1"/>
    <col min="5" max="5" width="5.85546875" bestFit="1" customWidth="1"/>
    <col min="6" max="6" width="8.28515625" customWidth="1"/>
    <col min="7" max="7" width="11" bestFit="1" customWidth="1"/>
    <col min="8" max="21" width="18.7109375" bestFit="1" customWidth="1"/>
    <col min="22" max="39" width="20.42578125" bestFit="1" customWidth="1"/>
    <col min="40" max="40" width="12.85546875" bestFit="1" customWidth="1"/>
    <col min="41" max="41" width="18" bestFit="1" customWidth="1"/>
    <col min="42" max="43" width="11.28515625" bestFit="1" customWidth="1"/>
    <col min="44" max="44" width="19.140625" bestFit="1" customWidth="1"/>
    <col min="45" max="46" width="11.28515625" bestFit="1" customWidth="1"/>
    <col min="47" max="47" width="15.140625" bestFit="1" customWidth="1"/>
    <col min="48" max="48" width="18.85546875" bestFit="1" customWidth="1"/>
  </cols>
  <sheetData>
    <row r="1" spans="1:4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 t="s">
        <v>120</v>
      </c>
      <c r="I1" s="2" t="s">
        <v>120</v>
      </c>
      <c r="J1" s="2" t="s">
        <v>120</v>
      </c>
      <c r="K1" s="2" t="s">
        <v>120</v>
      </c>
      <c r="L1" s="2" t="s">
        <v>120</v>
      </c>
      <c r="M1" s="2" t="s">
        <v>120</v>
      </c>
      <c r="N1" s="2" t="s">
        <v>120</v>
      </c>
      <c r="O1" s="2" t="s">
        <v>120</v>
      </c>
      <c r="P1" s="2" t="s">
        <v>120</v>
      </c>
      <c r="Q1" s="2" t="s">
        <v>120</v>
      </c>
      <c r="R1" s="2" t="s">
        <v>120</v>
      </c>
      <c r="S1" s="2" t="s">
        <v>120</v>
      </c>
      <c r="T1" s="2" t="s">
        <v>120</v>
      </c>
      <c r="U1" s="2" t="s">
        <v>120</v>
      </c>
      <c r="V1" s="2" t="s">
        <v>120</v>
      </c>
      <c r="W1" s="2" t="s">
        <v>120</v>
      </c>
      <c r="X1" s="2" t="s">
        <v>120</v>
      </c>
      <c r="Y1" s="2" t="s">
        <v>120</v>
      </c>
      <c r="Z1" s="2" t="s">
        <v>120</v>
      </c>
      <c r="AA1" s="2" t="s">
        <v>120</v>
      </c>
      <c r="AB1" s="2" t="s">
        <v>120</v>
      </c>
      <c r="AC1" s="2" t="s">
        <v>120</v>
      </c>
      <c r="AD1" s="2" t="s">
        <v>120</v>
      </c>
      <c r="AE1" s="2" t="s">
        <v>120</v>
      </c>
      <c r="AF1" s="2" t="s">
        <v>120</v>
      </c>
      <c r="AG1" s="2" t="s">
        <v>120</v>
      </c>
      <c r="AH1" s="2" t="s">
        <v>120</v>
      </c>
      <c r="AI1" s="2" t="s">
        <v>120</v>
      </c>
      <c r="AJ1" s="2" t="s">
        <v>120</v>
      </c>
      <c r="AK1" s="2" t="s">
        <v>120</v>
      </c>
      <c r="AL1" s="2" t="s">
        <v>120</v>
      </c>
      <c r="AM1" s="2" t="s">
        <v>120</v>
      </c>
      <c r="AN1" s="2" t="s">
        <v>6</v>
      </c>
      <c r="AO1" s="2" t="s">
        <v>7</v>
      </c>
      <c r="AP1" s="2"/>
      <c r="AQ1" s="2"/>
      <c r="AR1" s="2" t="s">
        <v>8</v>
      </c>
      <c r="AS1" s="2"/>
      <c r="AT1" s="2"/>
      <c r="AV1" s="2" t="s">
        <v>295</v>
      </c>
    </row>
    <row r="2" spans="1:48" x14ac:dyDescent="0.25">
      <c r="A2" s="26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" t="s">
        <v>9</v>
      </c>
      <c r="H2" s="11">
        <v>1</v>
      </c>
      <c r="I2" s="11">
        <v>2</v>
      </c>
      <c r="J2" s="11">
        <v>3</v>
      </c>
      <c r="K2" s="11">
        <v>4</v>
      </c>
      <c r="L2" s="11">
        <v>5</v>
      </c>
      <c r="M2" s="11">
        <v>6</v>
      </c>
      <c r="N2" s="11">
        <v>7</v>
      </c>
      <c r="O2" s="11">
        <v>8</v>
      </c>
      <c r="P2" s="11">
        <v>9</v>
      </c>
      <c r="Q2" s="11">
        <v>10</v>
      </c>
      <c r="R2" s="11">
        <v>11</v>
      </c>
      <c r="S2" s="11">
        <v>12</v>
      </c>
      <c r="T2" s="11">
        <v>13</v>
      </c>
      <c r="U2" s="11">
        <v>14</v>
      </c>
      <c r="V2" s="11">
        <v>15</v>
      </c>
      <c r="W2" s="11">
        <v>16</v>
      </c>
      <c r="X2" s="11">
        <v>17</v>
      </c>
      <c r="Y2" s="11">
        <v>18</v>
      </c>
      <c r="Z2" s="11">
        <v>19</v>
      </c>
      <c r="AA2" s="11">
        <v>20</v>
      </c>
      <c r="AB2" s="11">
        <v>21</v>
      </c>
      <c r="AC2" s="11">
        <v>22</v>
      </c>
      <c r="AD2" s="11">
        <v>23</v>
      </c>
      <c r="AE2" s="11">
        <v>24</v>
      </c>
      <c r="AF2" s="11">
        <v>25</v>
      </c>
      <c r="AG2" s="11">
        <v>26</v>
      </c>
      <c r="AH2" s="11">
        <v>27</v>
      </c>
      <c r="AI2" s="11">
        <v>28</v>
      </c>
      <c r="AJ2" s="11">
        <v>29</v>
      </c>
      <c r="AK2" s="11">
        <v>30</v>
      </c>
      <c r="AL2" s="11">
        <v>31</v>
      </c>
      <c r="AM2" s="2" t="s">
        <v>121</v>
      </c>
      <c r="AN2" s="26" t="s">
        <v>6</v>
      </c>
      <c r="AO2" s="2" t="s">
        <v>21</v>
      </c>
      <c r="AP2" s="2" t="s">
        <v>22</v>
      </c>
      <c r="AQ2" s="2" t="s">
        <v>23</v>
      </c>
      <c r="AR2" s="2" t="s">
        <v>21</v>
      </c>
      <c r="AS2" s="2" t="s">
        <v>22</v>
      </c>
      <c r="AT2" s="2" t="s">
        <v>23</v>
      </c>
      <c r="AU2" s="2" t="s">
        <v>150</v>
      </c>
      <c r="AV2" s="26" t="s">
        <v>295</v>
      </c>
    </row>
    <row r="3" spans="1:48" x14ac:dyDescent="0.25">
      <c r="A3" t="s">
        <v>36</v>
      </c>
      <c r="B3" t="s">
        <v>37</v>
      </c>
      <c r="C3" t="s">
        <v>38</v>
      </c>
      <c r="D3" t="s">
        <v>37</v>
      </c>
      <c r="E3" t="s">
        <v>24</v>
      </c>
      <c r="F3" t="s">
        <v>28</v>
      </c>
      <c r="G3" t="s">
        <v>29</v>
      </c>
      <c r="H3" s="1">
        <f>((VLOOKUP($A3,'BASE PAN - CAPEX'!$A$3:$I$22,9,FALSE)/3)*$C$25)+VLOOKUP($A3,'CAPEX - Manutenção_PPD'!$A$3:$C$22,3,FALSE)+VLOOKUP($A3,'CAPEX - Manutenção_PTR_Taxiway'!$A$3:$C$22,3,FALSE)+VLOOKUP($A3,'CAPEX - Manutenção_Pátio'!$A$3:$C$22,3,FALSE)+VLOOKUP($A3,'CAPEX - Navegação Aérea'!$A$3:$H$22,8,FALSE)</f>
        <v>28256000</v>
      </c>
      <c r="I3" s="1">
        <f>((VLOOKUP($A3,'BASE PAN - CAPEX'!$A$3:$I$22,9,FALSE)/3)*$C$25)+VLOOKUP($A3,'CAPEX - Manut._Desemborracham.'!$A$3:$C$54,3,FALSE)</f>
        <v>27472496.351861097</v>
      </c>
      <c r="J3" s="1">
        <f>(VLOOKUP($A3,'BASE PAN - CAPEX'!$A$3:$I$22,9,FALSE)/3)*$C$25</f>
        <v>27381000</v>
      </c>
      <c r="K3" s="1">
        <f>VLOOKUP($A3,'CAPEX - Manut._Desemborracham.'!$A$3:$D$54,4,FALSE)</f>
        <v>91496.351861098257</v>
      </c>
      <c r="L3" s="1">
        <f>VLOOKUP($A3,'CAPEX - Manutenção_PPD'!$A$3:$D$22,4,FALSE)+VLOOKUP($A3,'CAPEX - Manutenção_PTR_Taxiway'!$A$3:$D$22,4,FALSE)+VLOOKUP($A3,'CAPEX - Manutenção_Pátio'!$A$3:$D$22,4,FALSE)</f>
        <v>206657.08</v>
      </c>
      <c r="M3" s="1">
        <f>VLOOKUP($A3,'CAPEX - Manut._Desemborracham.'!$A$3:$E$54,5,FALSE)</f>
        <v>91496.351861098257</v>
      </c>
      <c r="N3" s="1">
        <v>0</v>
      </c>
      <c r="O3" s="1">
        <f>VLOOKUP($A3,'CAPEX - Manutenção_PPD'!$A$3:$E$22,5,FALSE)+VLOOKUP($A3,'CAPEX - Manutenção_PTR_Taxiway'!$A$3:$E$22,5,FALSE)+VLOOKUP($A3,'CAPEX - Manutenção_Pátio'!$A$3:$E$22,5,FALSE)+VLOOKUP($A3,'CAPEX - Manut._Desemborracham.'!$A$3:$F$54,6,FALSE)</f>
        <v>298153.43186109827</v>
      </c>
      <c r="P3" s="1">
        <v>0</v>
      </c>
      <c r="Q3" s="1">
        <f>VLOOKUP($A3,'CAPEX - Manutenção_PPD'!$A$3:$F$22,6,FALSE)+VLOOKUP($A3,'CAPEX - Manutenção_PTR_Taxiway'!$A$3:$F$22,6,FALSE)+VLOOKUP($A3,'CAPEX - Manutenção_Pátio'!$A$3:$F$22,6,FALSE)+VLOOKUP($A3,'CAPEX - Manut._Desemborracham.'!$A$3:$G$54,7,FALSE)</f>
        <v>7654855.6818610979</v>
      </c>
      <c r="R3" s="1">
        <v>0</v>
      </c>
      <c r="S3" s="1">
        <f>VLOOKUP($A3,'CAPEX - Manut._Desemborracham.'!$A$3:$H$54,8,FALSE)</f>
        <v>91496.351861098257</v>
      </c>
      <c r="T3" s="1">
        <v>0</v>
      </c>
      <c r="U3" s="1">
        <f>VLOOKUP($A3,'CAPEX - Manut._Desemborracham.'!$A$3:$I$54,9,FALSE)</f>
        <v>91496.351861098257</v>
      </c>
      <c r="V3" s="1">
        <f>VLOOKUP($A3,'CAPEX - Manutenção_PPD'!$A$3:$G$22,7,FALSE)+VLOOKUP($A3,'CAPEX - Manutenção_PTR_Taxiway'!$A$3:$G$22,7,FALSE)+VLOOKUP($A3,'CAPEX - Manutenção_Pátio'!$A$3:$G$22,7,FALSE)</f>
        <v>5374279.3700000001</v>
      </c>
      <c r="W3" s="1">
        <f>VLOOKUP($A3,'CAPEX - Manut._Desemborracham.'!$A$3:$J$54,10,FALSE)</f>
        <v>91496.351861098257</v>
      </c>
      <c r="X3" s="1">
        <v>0</v>
      </c>
      <c r="Y3" s="1">
        <f>VLOOKUP($A3,'CAPEX - Manutenção_PPD'!$A$3:$H$22,8,FALSE)+VLOOKUP($A3,'CAPEX - Manutenção_PTR_Taxiway'!$A$3:$H$22,8,FALSE)+VLOOKUP($A3,'CAPEX - Manutenção_Pátio'!$A$3:$H$22,8,FALSE)+VLOOKUP($A3,'CAPEX - Manut._Desemborracham.'!$A$3:$K$54,11,FALSE)</f>
        <v>298153.43186109827</v>
      </c>
      <c r="Z3" s="1">
        <v>0</v>
      </c>
      <c r="AA3" s="1">
        <f>VLOOKUP($A3,'CAPEX - Manutenção_PPD'!$A$3:$I$22,9,FALSE)+VLOOKUP($A3,'CAPEX - Manutenção_PTR_Taxiway'!$A$3:$I$22,9,FALSE)+VLOOKUP($A3,'CAPEX - Manutenção_Pátio'!$A$3:$I$22,9,FALSE)+VLOOKUP($A3,'CAPEX - Manut._Desemborracham.'!$A$3:$L$54,12,FALSE)</f>
        <v>7654855.6818610979</v>
      </c>
      <c r="AB3" s="1">
        <v>0</v>
      </c>
      <c r="AC3" s="1">
        <f>VLOOKUP($A3,'CAPEX - Manut._Desemborracham.'!$A$3:$M$54,13,FALSE)</f>
        <v>91496.351861098257</v>
      </c>
      <c r="AD3" s="1">
        <v>0</v>
      </c>
      <c r="AE3" s="1">
        <f>VLOOKUP($A3,'CAPEX - Manut._Desemborracham.'!$A$3:$N$54,14,FALSE)</f>
        <v>91496.351861098257</v>
      </c>
      <c r="AF3" s="1">
        <f>VLOOKUP($A3,'CAPEX - Manutenção_PPD'!$A$3:$J$22,10,FALSE)+VLOOKUP($A3,'CAPEX - Manutenção_PTR_Taxiway'!$A$3:$J$22,10,FALSE)+VLOOKUP($A3,'CAPEX - Manutenção_Pátio'!$A$3:$J$22,10,FALSE)</f>
        <v>206657.08</v>
      </c>
      <c r="AG3" s="1">
        <f>VLOOKUP($A3,'CAPEX - Manut._Desemborracham.'!$A$3:$O$54,15,FALSE)</f>
        <v>91496.351861098257</v>
      </c>
      <c r="AH3" s="1">
        <v>0</v>
      </c>
      <c r="AI3" s="1">
        <f>VLOOKUP($A3,'CAPEX - Manutenção_PPD'!$A$3:$K$22,11,FALSE)+VLOOKUP($A3,'CAPEX - Manutenção_PTR_Taxiway'!$A$3:$K$22,11,FALSE)+VLOOKUP($A3,'CAPEX - Manutenção_Pátio'!$A$3:$K$22,11,FALSE)+VLOOKUP($A3,'CAPEX - Manut._Desemborracham.'!$A$3:$P$54,16,FALSE)</f>
        <v>298153.43186109827</v>
      </c>
      <c r="AJ3" s="1">
        <v>0</v>
      </c>
      <c r="AK3" s="1">
        <f>VLOOKUP($A3,'CAPEX - Manut._Desemborracham.'!$A$3:$Q$54,17,FALSE)</f>
        <v>91496.351861098257</v>
      </c>
      <c r="AL3" s="1">
        <v>0</v>
      </c>
      <c r="AM3" s="1">
        <f>SUM(H3:AL3)</f>
        <v>105924728.70791654</v>
      </c>
      <c r="AN3" s="3">
        <v>1</v>
      </c>
      <c r="AO3" s="3" t="s">
        <v>97</v>
      </c>
      <c r="AP3" s="3">
        <v>2045</v>
      </c>
      <c r="AQ3" s="3">
        <v>2025</v>
      </c>
      <c r="AR3" s="3" t="s">
        <v>97</v>
      </c>
      <c r="AS3" s="3">
        <v>3</v>
      </c>
      <c r="AT3" s="3">
        <v>2</v>
      </c>
      <c r="AU3" t="s">
        <v>127</v>
      </c>
      <c r="AV3" s="3">
        <f>VLOOKUP(A3,'BASE PAN - CAPEX'!$A$3:$H$22,8,FALSE)</f>
        <v>3</v>
      </c>
    </row>
    <row r="4" spans="1:48" x14ac:dyDescent="0.25">
      <c r="A4" t="s">
        <v>39</v>
      </c>
      <c r="B4" t="s">
        <v>40</v>
      </c>
      <c r="C4" t="s">
        <v>41</v>
      </c>
      <c r="D4" t="s">
        <v>42</v>
      </c>
      <c r="E4" t="s">
        <v>34</v>
      </c>
      <c r="F4" t="s">
        <v>28</v>
      </c>
      <c r="G4" t="s">
        <v>29</v>
      </c>
      <c r="H4" s="1">
        <f>((VLOOKUP($A4,'BASE PAN - CAPEX'!$A$3:$I$22,9,FALSE)/3)*$C$24)+VLOOKUP($A4,'CAPEX - Manutenção_PPD'!$A$3:$C$22,3,FALSE)+VLOOKUP($A4,'CAPEX - Manutenção_PTR_Taxiway'!$A$3:$C$22,3,FALSE)+VLOOKUP($A4,'CAPEX - Manutenção_Pátio'!$A$3:$C$22,3,FALSE)+VLOOKUP($A4,'CAPEX - Navegação Aérea'!$A$3:$H$22,8,FALSE)</f>
        <v>28685066.433333334</v>
      </c>
      <c r="I4" s="1">
        <f>((VLOOKUP($A4,'BASE PAN - CAPEX'!$A$3:$I$22,9,FALSE)/3)*$C$24)+VLOOKUP($A4,'CAPEX - Manut._Desemborracham.'!$A$3:$C$54,3,FALSE)</f>
        <v>12643126.91835323</v>
      </c>
      <c r="J4" s="1">
        <f>(VLOOKUP($A4,'BASE PAN - CAPEX'!$A$3:$I$22,9,FALSE)/3)*$C$24</f>
        <v>12573333.333333334</v>
      </c>
      <c r="K4" s="1">
        <f>VLOOKUP($A4,'CAPEX - Manut._Desemborracham.'!$A$3:$D$54,4,FALSE)</f>
        <v>69793.585019895952</v>
      </c>
      <c r="L4" s="1">
        <f>VLOOKUP($A4,'CAPEX - Manutenção_PPD'!$A$3:$D$22,4,FALSE)+VLOOKUP($A4,'CAPEX - Manutenção_PTR_Taxiway'!$A$3:$D$22,4,FALSE)+VLOOKUP($A4,'CAPEX - Manutenção_Pátio'!$A$3:$D$22,4,FALSE)</f>
        <v>208895.29</v>
      </c>
      <c r="M4" s="1">
        <f>VLOOKUP($A4,'CAPEX - Manut._Desemborracham.'!$A$3:$E$54,5,FALSE)</f>
        <v>69793.585019895952</v>
      </c>
      <c r="N4" s="1">
        <v>0</v>
      </c>
      <c r="O4" s="1">
        <f>VLOOKUP($A4,'CAPEX - Manutenção_PPD'!$A$3:$E$22,5,FALSE)+VLOOKUP($A4,'CAPEX - Manutenção_PTR_Taxiway'!$A$3:$E$22,5,FALSE)+VLOOKUP($A4,'CAPEX - Manutenção_Pátio'!$A$3:$E$22,5,FALSE)+VLOOKUP($A4,'CAPEX - Manut._Desemborracham.'!$A$3:$F$54,6,FALSE)</f>
        <v>278688.87501989596</v>
      </c>
      <c r="P4" s="1">
        <v>0</v>
      </c>
      <c r="Q4" s="1">
        <f>VLOOKUP($A4,'CAPEX - Manutenção_PPD'!$A$3:$F$22,6,FALSE)+VLOOKUP($A4,'CAPEX - Manutenção_PTR_Taxiway'!$A$3:$F$22,6,FALSE)+VLOOKUP($A4,'CAPEX - Manutenção_Pátio'!$A$3:$F$22,6,FALSE)+VLOOKUP($A4,'CAPEX - Manut._Desemborracham.'!$A$3:$G$54,7,FALSE)</f>
        <v>8184477.6350198956</v>
      </c>
      <c r="R4" s="1">
        <v>0</v>
      </c>
      <c r="S4" s="1">
        <f>VLOOKUP($A4,'CAPEX - Manut._Desemborracham.'!$A$3:$H$54,8,FALSE)</f>
        <v>69793.585019895952</v>
      </c>
      <c r="T4" s="1">
        <v>0</v>
      </c>
      <c r="U4" s="1">
        <f>VLOOKUP($A4,'CAPEX - Manut._Desemborracham.'!$A$3:$I$54,9,FALSE)</f>
        <v>69793.585019895952</v>
      </c>
      <c r="V4" s="1">
        <f>VLOOKUP($A4,'CAPEX - Manutenção_PPD'!$A$3:$G$22,7,FALSE)+VLOOKUP($A4,'CAPEX - Manutenção_PTR_Taxiway'!$A$3:$G$22,7,FALSE)+VLOOKUP($A4,'CAPEX - Manutenção_Pátio'!$A$3:$G$22,7,FALSE)</f>
        <v>8131778.9900000002</v>
      </c>
      <c r="W4" s="1">
        <f>VLOOKUP($A4,'CAPEX - Manut._Desemborracham.'!$A$3:$J$54,10,FALSE)</f>
        <v>69793.585019895952</v>
      </c>
      <c r="X4" s="1">
        <v>0</v>
      </c>
      <c r="Y4" s="1">
        <f>VLOOKUP($A4,'CAPEX - Manutenção_PPD'!$A$3:$H$22,8,FALSE)+VLOOKUP($A4,'CAPEX - Manutenção_PTR_Taxiway'!$A$3:$H$22,8,FALSE)+VLOOKUP($A4,'CAPEX - Manutenção_Pátio'!$A$3:$H$22,8,FALSE)+VLOOKUP($A4,'CAPEX - Manut._Desemborracham.'!$A$3:$K$54,11,FALSE)</f>
        <v>278688.87501989596</v>
      </c>
      <c r="Z4" s="1">
        <v>0</v>
      </c>
      <c r="AA4" s="1">
        <f>VLOOKUP($A4,'CAPEX - Manutenção_PPD'!$A$3:$I$22,9,FALSE)+VLOOKUP($A4,'CAPEX - Manutenção_PTR_Taxiway'!$A$3:$I$22,9,FALSE)+VLOOKUP($A4,'CAPEX - Manutenção_Pátio'!$A$3:$I$22,9,FALSE)+VLOOKUP($A4,'CAPEX - Manut._Desemborracham.'!$A$3:$L$54,12,FALSE)</f>
        <v>8184477.6350198956</v>
      </c>
      <c r="AB4" s="1">
        <v>0</v>
      </c>
      <c r="AC4" s="1">
        <f>VLOOKUP($A4,'CAPEX - Manut._Desemborracham.'!$A$3:$M$54,13,FALSE)</f>
        <v>69793.585019895952</v>
      </c>
      <c r="AD4" s="1">
        <v>0</v>
      </c>
      <c r="AE4" s="1">
        <f>VLOOKUP($A4,'CAPEX - Manut._Desemborracham.'!$A$3:$N$54,14,FALSE)</f>
        <v>69793.585019895952</v>
      </c>
      <c r="AF4" s="1">
        <f>VLOOKUP($A4,'CAPEX - Manutenção_PPD'!$A$3:$J$22,10,FALSE)+VLOOKUP($A4,'CAPEX - Manutenção_PTR_Taxiway'!$A$3:$J$22,10,FALSE)+VLOOKUP($A4,'CAPEX - Manutenção_Pátio'!$A$3:$J$22,10,FALSE)</f>
        <v>208895.29</v>
      </c>
      <c r="AG4" s="1">
        <f>VLOOKUP($A4,'CAPEX - Manut._Desemborracham.'!$A$3:$O$54,15,FALSE)</f>
        <v>69793.585019895952</v>
      </c>
      <c r="AH4" s="1">
        <v>0</v>
      </c>
      <c r="AI4" s="1">
        <f>VLOOKUP($A4,'CAPEX - Manutenção_PPD'!$A$3:$K$22,11,FALSE)+VLOOKUP($A4,'CAPEX - Manutenção_PTR_Taxiway'!$A$3:$K$22,11,FALSE)+VLOOKUP($A4,'CAPEX - Manutenção_Pátio'!$A$3:$K$22,11,FALSE)+VLOOKUP($A4,'CAPEX - Manut._Desemborracham.'!$A$3:$P$54,16,FALSE)</f>
        <v>278688.87501989596</v>
      </c>
      <c r="AJ4" s="1">
        <v>0</v>
      </c>
      <c r="AK4" s="1">
        <f>VLOOKUP($A4,'CAPEX - Manut._Desemborracham.'!$A$3:$Q$54,17,FALSE)</f>
        <v>69793.585019895952</v>
      </c>
      <c r="AL4" s="1">
        <v>0</v>
      </c>
      <c r="AM4" s="1">
        <f t="shared" ref="AM4:AM17" si="0">SUM(H4:AL4)</f>
        <v>80284260.415298462</v>
      </c>
      <c r="AN4" s="3">
        <v>1</v>
      </c>
      <c r="AO4" s="3" t="s">
        <v>97</v>
      </c>
      <c r="AP4" s="3">
        <v>2039</v>
      </c>
      <c r="AQ4" s="3">
        <v>2025</v>
      </c>
      <c r="AR4" s="3" t="s">
        <v>97</v>
      </c>
      <c r="AS4" s="3">
        <v>3</v>
      </c>
      <c r="AT4" s="3">
        <v>2</v>
      </c>
      <c r="AU4" t="s">
        <v>151</v>
      </c>
      <c r="AV4" s="3">
        <f>VLOOKUP(A4,'BASE PAN - CAPEX'!$A$3:$H$22,8,FALSE)</f>
        <v>3</v>
      </c>
    </row>
    <row r="5" spans="1:48" x14ac:dyDescent="0.25">
      <c r="A5" t="s">
        <v>43</v>
      </c>
      <c r="B5" t="s">
        <v>44</v>
      </c>
      <c r="C5" t="s">
        <v>45</v>
      </c>
      <c r="D5" t="s">
        <v>44</v>
      </c>
      <c r="E5" t="s">
        <v>30</v>
      </c>
      <c r="F5" t="s">
        <v>28</v>
      </c>
      <c r="G5" t="s">
        <v>29</v>
      </c>
      <c r="H5" s="1">
        <f>((VLOOKUP($A5,'BASE PAN - CAPEX'!$A$3:$I$22,9,FALSE)/3)*$C$25)+VLOOKUP($A5,'CAPEX - Manutenção_PPD'!$A$3:$C$22,3,FALSE)+VLOOKUP($A5,'CAPEX - Manutenção_PTR_Taxiway'!$A$3:$C$22,3,FALSE)+VLOOKUP($A5,'CAPEX - Manutenção_Pátio'!$A$3:$C$22,3,FALSE)+VLOOKUP($A5,'CAPEX - Navegação Aérea'!$A$3:$H$22,8,FALSE)</f>
        <v>17480020.620000001</v>
      </c>
      <c r="I5" s="1">
        <f>((VLOOKUP($A5,'BASE PAN - CAPEX'!$A$3:$I$22,9,FALSE)/3)*$C$25)+VLOOKUP($A5,'CAPEX - Manut._Desemborracham.'!$A$3:$C$54,3,FALSE)</f>
        <v>9075000</v>
      </c>
      <c r="J5" s="1">
        <f>(VLOOKUP($A5,'BASE PAN - CAPEX'!$A$3:$I$22,9,FALSE)/3)*$C$25</f>
        <v>9075000</v>
      </c>
      <c r="K5" s="1">
        <f>VLOOKUP($A5,'CAPEX - Manut._Desemborracham.'!$A$3:$D$54,4,FALSE)</f>
        <v>0</v>
      </c>
      <c r="L5" s="1">
        <f>VLOOKUP($A5,'CAPEX - Manutenção_PPD'!$A$3:$D$22,4,FALSE)+VLOOKUP($A5,'CAPEX - Manutenção_PTR_Taxiway'!$A$3:$D$22,4,FALSE)+VLOOKUP($A5,'CAPEX - Manutenção_Pátio'!$A$3:$D$22,4,FALSE)</f>
        <v>197174.36000000002</v>
      </c>
      <c r="M5" s="1">
        <f>VLOOKUP($A5,'CAPEX - Manut._Desemborracham.'!$A$3:$E$54,5,FALSE)</f>
        <v>0</v>
      </c>
      <c r="N5" s="1">
        <v>0</v>
      </c>
      <c r="O5" s="1">
        <f>VLOOKUP($A5,'CAPEX - Manutenção_PPD'!$A$3:$E$22,5,FALSE)+VLOOKUP($A5,'CAPEX - Manutenção_PTR_Taxiway'!$A$3:$E$22,5,FALSE)+VLOOKUP($A5,'CAPEX - Manutenção_Pátio'!$A$3:$E$22,5,FALSE)+VLOOKUP($A5,'CAPEX - Manut._Desemborracham.'!$A$3:$F$54,6,FALSE)</f>
        <v>197174.36000000002</v>
      </c>
      <c r="P5" s="1">
        <v>0</v>
      </c>
      <c r="Q5" s="1">
        <f>VLOOKUP($A5,'CAPEX - Manutenção_PPD'!$A$3:$F$22,6,FALSE)+VLOOKUP($A5,'CAPEX - Manutenção_PTR_Taxiway'!$A$3:$F$22,6,FALSE)+VLOOKUP($A5,'CAPEX - Manutenção_Pátio'!$A$3:$F$22,6,FALSE)+VLOOKUP($A5,'CAPEX - Manut._Desemborracham.'!$A$3:$G$54,7,FALSE)</f>
        <v>7571378.1800000006</v>
      </c>
      <c r="R5" s="1">
        <v>0</v>
      </c>
      <c r="S5" s="1">
        <f>VLOOKUP($A5,'CAPEX - Manut._Desemborracham.'!$A$3:$H$54,8,FALSE)</f>
        <v>0</v>
      </c>
      <c r="T5" s="1">
        <v>0</v>
      </c>
      <c r="U5" s="1">
        <f>VLOOKUP($A5,'CAPEX - Manut._Desemborracham.'!$A$3:$I$54,9,FALSE)</f>
        <v>0</v>
      </c>
      <c r="V5" s="1">
        <f>VLOOKUP($A5,'CAPEX - Manutenção_PPD'!$A$3:$G$22,7,FALSE)+VLOOKUP($A5,'CAPEX - Manutenção_PTR_Taxiway'!$A$3:$G$22,7,FALSE)+VLOOKUP($A5,'CAPEX - Manutenção_Pátio'!$A$3:$G$22,7,FALSE)</f>
        <v>5421309.0199999996</v>
      </c>
      <c r="W5" s="1">
        <f>VLOOKUP($A5,'CAPEX - Manut._Desemborracham.'!$A$3:$J$54,10,FALSE)</f>
        <v>0</v>
      </c>
      <c r="X5" s="1">
        <v>0</v>
      </c>
      <c r="Y5" s="1">
        <f>VLOOKUP($A5,'CAPEX - Manutenção_PPD'!$A$3:$H$22,8,FALSE)+VLOOKUP($A5,'CAPEX - Manutenção_PTR_Taxiway'!$A$3:$H$22,8,FALSE)+VLOOKUP($A5,'CAPEX - Manutenção_Pátio'!$A$3:$H$22,8,FALSE)+VLOOKUP($A5,'CAPEX - Manut._Desemborracham.'!$A$3:$K$54,11,FALSE)</f>
        <v>197174.36000000002</v>
      </c>
      <c r="Z5" s="1">
        <v>0</v>
      </c>
      <c r="AA5" s="1">
        <f>VLOOKUP($A5,'CAPEX - Manutenção_PPD'!$A$3:$I$22,9,FALSE)+VLOOKUP($A5,'CAPEX - Manutenção_PTR_Taxiway'!$A$3:$I$22,9,FALSE)+VLOOKUP($A5,'CAPEX - Manutenção_Pátio'!$A$3:$I$22,9,FALSE)+VLOOKUP($A5,'CAPEX - Manut._Desemborracham.'!$A$3:$L$54,12,FALSE)</f>
        <v>7571378.1800000006</v>
      </c>
      <c r="AB5" s="1">
        <v>0</v>
      </c>
      <c r="AC5" s="1">
        <f>VLOOKUP($A5,'CAPEX - Manut._Desemborracham.'!$A$3:$M$54,13,FALSE)</f>
        <v>0</v>
      </c>
      <c r="AD5" s="1">
        <v>0</v>
      </c>
      <c r="AE5" s="1">
        <f>VLOOKUP($A5,'CAPEX - Manut._Desemborracham.'!$A$3:$N$54,14,FALSE)</f>
        <v>0</v>
      </c>
      <c r="AF5" s="1">
        <f>VLOOKUP($A5,'CAPEX - Manutenção_PPD'!$A$3:$J$22,10,FALSE)+VLOOKUP($A5,'CAPEX - Manutenção_PTR_Taxiway'!$A$3:$J$22,10,FALSE)+VLOOKUP($A5,'CAPEX - Manutenção_Pátio'!$A$3:$J$22,10,FALSE)</f>
        <v>197174.36000000002</v>
      </c>
      <c r="AG5" s="1">
        <f>VLOOKUP($A5,'CAPEX - Manut._Desemborracham.'!$A$3:$O$54,15,FALSE)</f>
        <v>0</v>
      </c>
      <c r="AH5" s="1">
        <v>0</v>
      </c>
      <c r="AI5" s="1">
        <f>VLOOKUP($A5,'CAPEX - Manutenção_PPD'!$A$3:$K$22,11,FALSE)+VLOOKUP($A5,'CAPEX - Manutenção_PTR_Taxiway'!$A$3:$K$22,11,FALSE)+VLOOKUP($A5,'CAPEX - Manutenção_Pátio'!$A$3:$K$22,11,FALSE)+VLOOKUP($A5,'CAPEX - Manut._Desemborracham.'!$A$3:$P$54,16,FALSE)</f>
        <v>197174.36000000002</v>
      </c>
      <c r="AJ5" s="1">
        <v>0</v>
      </c>
      <c r="AK5" s="1">
        <f>VLOOKUP($A5,'CAPEX - Manut._Desemborracham.'!$A$3:$Q$54,17,FALSE)</f>
        <v>0</v>
      </c>
      <c r="AL5" s="1">
        <v>0</v>
      </c>
      <c r="AM5" s="1">
        <f t="shared" si="0"/>
        <v>57179957.800000004</v>
      </c>
      <c r="AN5" s="3">
        <v>0</v>
      </c>
      <c r="AO5" s="3" t="s">
        <v>97</v>
      </c>
      <c r="AP5" s="3" t="s">
        <v>97</v>
      </c>
      <c r="AQ5" s="3">
        <v>2026</v>
      </c>
      <c r="AR5" s="3" t="s">
        <v>97</v>
      </c>
      <c r="AS5" s="3" t="s">
        <v>97</v>
      </c>
      <c r="AT5" s="3">
        <v>1</v>
      </c>
      <c r="AU5" t="s">
        <v>127</v>
      </c>
      <c r="AV5" s="3">
        <f>VLOOKUP(A5,'BASE PAN - CAPEX'!$A$3:$H$22,8,FALSE)</f>
        <v>1</v>
      </c>
    </row>
    <row r="6" spans="1:48" x14ac:dyDescent="0.25">
      <c r="A6" t="s">
        <v>47</v>
      </c>
      <c r="B6" t="s">
        <v>48</v>
      </c>
      <c r="C6" t="s">
        <v>49</v>
      </c>
      <c r="D6" t="s">
        <v>48</v>
      </c>
      <c r="E6" t="s">
        <v>30</v>
      </c>
      <c r="F6" t="s">
        <v>28</v>
      </c>
      <c r="G6" t="s">
        <v>29</v>
      </c>
      <c r="H6" s="1">
        <f>((VLOOKUP($A6,'BASE PAN - CAPEX'!$A$3:$I$22,9,FALSE)/3)*$C$25)+VLOOKUP($A6,'CAPEX - Manutenção_PPD'!$A$3:$C$22,3,FALSE)+VLOOKUP($A6,'CAPEX - Manutenção_PTR_Taxiway'!$A$3:$C$22,3,FALSE)+VLOOKUP($A6,'CAPEX - Manutenção_Pátio'!$A$3:$C$22,3,FALSE)+VLOOKUP($A6,'CAPEX - Navegação Aérea'!$A$3:$H$22,8,FALSE)</f>
        <v>36288443.670000002</v>
      </c>
      <c r="I6" s="1">
        <f>((VLOOKUP($A6,'BASE PAN - CAPEX'!$A$3:$I$22,9,FALSE)/3)*$C$25)+VLOOKUP($A6,'CAPEX - Manut._Desemborracham.'!$A$3:$C$54,3,FALSE)</f>
        <v>35388085.216523759</v>
      </c>
      <c r="J6" s="1">
        <f>(VLOOKUP($A6,'BASE PAN - CAPEX'!$A$3:$I$22,9,FALSE)/3)*$C$25</f>
        <v>35289000</v>
      </c>
      <c r="K6" s="1">
        <f>VLOOKUP($A6,'CAPEX - Manut._Desemborracham.'!$A$3:$D$54,4,FALSE)</f>
        <v>99085.216523757219</v>
      </c>
      <c r="L6" s="1">
        <f>VLOOKUP($A6,'CAPEX - Manutenção_PPD'!$A$3:$D$22,4,FALSE)+VLOOKUP($A6,'CAPEX - Manutenção_PTR_Taxiway'!$A$3:$D$22,4,FALSE)+VLOOKUP($A6,'CAPEX - Manutenção_Pátio'!$A$3:$D$22,4,FALSE)</f>
        <v>220914.91999999998</v>
      </c>
      <c r="M6" s="1">
        <f>VLOOKUP($A6,'CAPEX - Manut._Desemborracham.'!$A$3:$E$54,5,FALSE)</f>
        <v>99085.216523757219</v>
      </c>
      <c r="N6" s="1">
        <v>0</v>
      </c>
      <c r="O6" s="1">
        <f>VLOOKUP($A6,'CAPEX - Manutenção_PPD'!$A$3:$E$22,5,FALSE)+VLOOKUP($A6,'CAPEX - Manutenção_PTR_Taxiway'!$A$3:$E$22,5,FALSE)+VLOOKUP($A6,'CAPEX - Manutenção_Pátio'!$A$3:$E$22,5,FALSE)+VLOOKUP($A6,'CAPEX - Manut._Desemborracham.'!$A$3:$F$54,6,FALSE)</f>
        <v>320000.13652375719</v>
      </c>
      <c r="P6" s="1">
        <v>0</v>
      </c>
      <c r="Q6" s="1">
        <f>VLOOKUP($A6,'CAPEX - Manutenção_PPD'!$A$3:$F$22,6,FALSE)+VLOOKUP($A6,'CAPEX - Manutenção_PTR_Taxiway'!$A$3:$F$22,6,FALSE)+VLOOKUP($A6,'CAPEX - Manutenção_Pátio'!$A$3:$F$22,6,FALSE)+VLOOKUP($A6,'CAPEX - Manut._Desemborracham.'!$A$3:$G$54,7,FALSE)</f>
        <v>9069495.9465237577</v>
      </c>
      <c r="R6" s="1">
        <v>0</v>
      </c>
      <c r="S6" s="1">
        <f>VLOOKUP($A6,'CAPEX - Manut._Desemborracham.'!$A$3:$H$54,8,FALSE)</f>
        <v>99085.216523757219</v>
      </c>
      <c r="T6" s="1">
        <v>0</v>
      </c>
      <c r="U6" s="1">
        <f>VLOOKUP($A6,'CAPEX - Manut._Desemborracham.'!$A$3:$I$54,9,FALSE)</f>
        <v>99085.216523757219</v>
      </c>
      <c r="V6" s="1">
        <f>VLOOKUP($A6,'CAPEX - Manutenção_PPD'!$A$3:$G$22,7,FALSE)+VLOOKUP($A6,'CAPEX - Manutenção_PTR_Taxiway'!$A$3:$G$22,7,FALSE)+VLOOKUP($A6,'CAPEX - Manutenção_Pátio'!$A$3:$G$22,7,FALSE)</f>
        <v>5407129.9800000004</v>
      </c>
      <c r="W6" s="1">
        <f>VLOOKUP($A6,'CAPEX - Manut._Desemborracham.'!$A$3:$J$54,10,FALSE)</f>
        <v>99085.216523757219</v>
      </c>
      <c r="X6" s="1">
        <v>0</v>
      </c>
      <c r="Y6" s="1">
        <f>VLOOKUP($A6,'CAPEX - Manutenção_PPD'!$A$3:$H$22,8,FALSE)+VLOOKUP($A6,'CAPEX - Manutenção_PTR_Taxiway'!$A$3:$H$22,8,FALSE)+VLOOKUP($A6,'CAPEX - Manutenção_Pátio'!$A$3:$H$22,8,FALSE)+VLOOKUP($A6,'CAPEX - Manut._Desemborracham.'!$A$3:$K$54,11,FALSE)</f>
        <v>320000.13652375719</v>
      </c>
      <c r="Z6" s="1">
        <v>0</v>
      </c>
      <c r="AA6" s="1">
        <f>VLOOKUP($A6,'CAPEX - Manutenção_PPD'!$A$3:$I$22,9,FALSE)+VLOOKUP($A6,'CAPEX - Manutenção_PTR_Taxiway'!$A$3:$I$22,9,FALSE)+VLOOKUP($A6,'CAPEX - Manutenção_Pátio'!$A$3:$I$22,9,FALSE)+VLOOKUP($A6,'CAPEX - Manut._Desemborracham.'!$A$3:$L$54,12,FALSE)</f>
        <v>9069495.9465237577</v>
      </c>
      <c r="AB6" s="1">
        <v>0</v>
      </c>
      <c r="AC6" s="1">
        <f>VLOOKUP($A6,'CAPEX - Manut._Desemborracham.'!$A$3:$M$54,13,FALSE)</f>
        <v>99085.216523757219</v>
      </c>
      <c r="AD6" s="1">
        <v>0</v>
      </c>
      <c r="AE6" s="1">
        <f>VLOOKUP($A6,'CAPEX - Manut._Desemborracham.'!$A$3:$N$54,14,FALSE)</f>
        <v>99085.216523757219</v>
      </c>
      <c r="AF6" s="1">
        <f>VLOOKUP($A6,'CAPEX - Manutenção_PPD'!$A$3:$J$22,10,FALSE)+VLOOKUP($A6,'CAPEX - Manutenção_PTR_Taxiway'!$A$3:$J$22,10,FALSE)+VLOOKUP($A6,'CAPEX - Manutenção_Pátio'!$A$3:$J$22,10,FALSE)</f>
        <v>220914.91999999998</v>
      </c>
      <c r="AG6" s="1">
        <f>VLOOKUP($A6,'CAPEX - Manut._Desemborracham.'!$A$3:$O$54,15,FALSE)</f>
        <v>99085.216523757219</v>
      </c>
      <c r="AH6" s="1">
        <v>0</v>
      </c>
      <c r="AI6" s="1">
        <f>VLOOKUP($A6,'CAPEX - Manutenção_PPD'!$A$3:$K$22,11,FALSE)+VLOOKUP($A6,'CAPEX - Manutenção_PTR_Taxiway'!$A$3:$K$22,11,FALSE)+VLOOKUP($A6,'CAPEX - Manutenção_Pátio'!$A$3:$K$22,11,FALSE)+VLOOKUP($A6,'CAPEX - Manut._Desemborracham.'!$A$3:$P$54,16,FALSE)</f>
        <v>320000.13652375719</v>
      </c>
      <c r="AJ6" s="1">
        <v>0</v>
      </c>
      <c r="AK6" s="1">
        <f>VLOOKUP($A6,'CAPEX - Manut._Desemborracham.'!$A$3:$Q$54,17,FALSE)</f>
        <v>99085.216523757219</v>
      </c>
      <c r="AL6" s="1">
        <v>0</v>
      </c>
      <c r="AM6" s="1">
        <f t="shared" si="0"/>
        <v>132805247.9578563</v>
      </c>
      <c r="AN6" s="3">
        <v>3</v>
      </c>
      <c r="AO6" s="3" t="s">
        <v>97</v>
      </c>
      <c r="AP6" s="3" t="s">
        <v>97</v>
      </c>
      <c r="AQ6" s="3" t="s">
        <v>97</v>
      </c>
      <c r="AR6" s="3" t="s">
        <v>97</v>
      </c>
      <c r="AS6" s="3" t="s">
        <v>97</v>
      </c>
      <c r="AT6" s="3" t="s">
        <v>97</v>
      </c>
      <c r="AU6" t="s">
        <v>127</v>
      </c>
      <c r="AV6" s="3">
        <f>VLOOKUP(A6,'BASE PAN - CAPEX'!$A$3:$H$22,8,FALSE)</f>
        <v>3</v>
      </c>
    </row>
    <row r="7" spans="1:48" x14ac:dyDescent="0.25">
      <c r="A7" t="s">
        <v>50</v>
      </c>
      <c r="B7" t="s">
        <v>51</v>
      </c>
      <c r="C7" t="s">
        <v>52</v>
      </c>
      <c r="D7" t="s">
        <v>51</v>
      </c>
      <c r="E7" t="s">
        <v>35</v>
      </c>
      <c r="F7" t="s">
        <v>28</v>
      </c>
      <c r="G7" t="s">
        <v>29</v>
      </c>
      <c r="H7" s="1">
        <f>((VLOOKUP($A7,'BASE PAN - CAPEX'!$A$3:$I$22,9,FALSE)/3)*$C$25)+VLOOKUP($A7,'CAPEX - Manutenção_PPD'!$A$3:$C$22,3,FALSE)+VLOOKUP($A7,'CAPEX - Manutenção_PTR_Taxiway'!$A$3:$C$22,3,FALSE)+VLOOKUP($A7,'CAPEX - Manutenção_Pátio'!$A$3:$C$22,3,FALSE)+VLOOKUP($A7,'CAPEX - Navegação Aérea'!$A$3:$H$22,8,FALSE)</f>
        <v>20328443.670000002</v>
      </c>
      <c r="I7" s="1">
        <f>((VLOOKUP($A7,'BASE PAN - CAPEX'!$A$3:$I$22,9,FALSE)/3)*$C$25)+VLOOKUP($A7,'CAPEX - Manut._Desemborracham.'!$A$3:$C$54,3,FALSE)</f>
        <v>19329000</v>
      </c>
      <c r="J7" s="1">
        <f>(VLOOKUP($A7,'BASE PAN - CAPEX'!$A$3:$I$22,9,FALSE)/3)*$C$25</f>
        <v>19329000</v>
      </c>
      <c r="K7" s="1">
        <f>VLOOKUP($A7,'CAPEX - Manut._Desemborracham.'!$A$3:$D$54,4,FALSE)</f>
        <v>0</v>
      </c>
      <c r="L7" s="1">
        <f>VLOOKUP($A7,'CAPEX - Manutenção_PPD'!$A$3:$D$22,4,FALSE)+VLOOKUP($A7,'CAPEX - Manutenção_PTR_Taxiway'!$A$3:$D$22,4,FALSE)+VLOOKUP($A7,'CAPEX - Manutenção_Pátio'!$A$3:$D$22,4,FALSE)</f>
        <v>180113.9</v>
      </c>
      <c r="M7" s="1">
        <f>VLOOKUP($A7,'CAPEX - Manut._Desemborracham.'!$A$3:$E$54,5,FALSE)</f>
        <v>0</v>
      </c>
      <c r="N7" s="1">
        <v>0</v>
      </c>
      <c r="O7" s="1">
        <f>VLOOKUP($A7,'CAPEX - Manutenção_PPD'!$A$3:$E$22,5,FALSE)+VLOOKUP($A7,'CAPEX - Manutenção_PTR_Taxiway'!$A$3:$E$22,5,FALSE)+VLOOKUP($A7,'CAPEX - Manutenção_Pátio'!$A$3:$E$22,5,FALSE)+VLOOKUP($A7,'CAPEX - Manut._Desemborracham.'!$A$3:$F$54,6,FALSE)</f>
        <v>180113.9</v>
      </c>
      <c r="P7" s="1">
        <v>0</v>
      </c>
      <c r="Q7" s="1">
        <f>VLOOKUP($A7,'CAPEX - Manutenção_PPD'!$A$3:$F$22,6,FALSE)+VLOOKUP($A7,'CAPEX - Manutenção_PTR_Taxiway'!$A$3:$F$22,6,FALSE)+VLOOKUP($A7,'CAPEX - Manutenção_Pátio'!$A$3:$F$22,6,FALSE)+VLOOKUP($A7,'CAPEX - Manut._Desemborracham.'!$A$3:$G$54,7,FALSE)</f>
        <v>6208416.25</v>
      </c>
      <c r="R7" s="1">
        <v>0</v>
      </c>
      <c r="S7" s="1">
        <f>VLOOKUP($A7,'CAPEX - Manut._Desemborracham.'!$A$3:$H$54,8,FALSE)</f>
        <v>0</v>
      </c>
      <c r="T7" s="1">
        <v>0</v>
      </c>
      <c r="U7" s="1">
        <f>VLOOKUP($A7,'CAPEX - Manut._Desemborracham.'!$A$3:$I$54,9,FALSE)</f>
        <v>0</v>
      </c>
      <c r="V7" s="1">
        <f>VLOOKUP($A7,'CAPEX - Manutenção_PPD'!$A$3:$G$22,7,FALSE)+VLOOKUP($A7,'CAPEX - Manutenção_PTR_Taxiway'!$A$3:$G$22,7,FALSE)+VLOOKUP($A7,'CAPEX - Manutenção_Pátio'!$A$3:$G$22,7,FALSE)</f>
        <v>6887729.2200000007</v>
      </c>
      <c r="W7" s="1">
        <f>VLOOKUP($A7,'CAPEX - Manut._Desemborracham.'!$A$3:$J$54,10,FALSE)</f>
        <v>0</v>
      </c>
      <c r="X7" s="1">
        <v>0</v>
      </c>
      <c r="Y7" s="1">
        <f>VLOOKUP($A7,'CAPEX - Manutenção_PPD'!$A$3:$H$22,8,FALSE)+VLOOKUP($A7,'CAPEX - Manutenção_PTR_Taxiway'!$A$3:$H$22,8,FALSE)+VLOOKUP($A7,'CAPEX - Manutenção_Pátio'!$A$3:$H$22,8,FALSE)+VLOOKUP($A7,'CAPEX - Manut._Desemborracham.'!$A$3:$K$54,11,FALSE)</f>
        <v>180113.9</v>
      </c>
      <c r="Z7" s="1">
        <v>0</v>
      </c>
      <c r="AA7" s="1">
        <f>VLOOKUP($A7,'CAPEX - Manutenção_PPD'!$A$3:$I$22,9,FALSE)+VLOOKUP($A7,'CAPEX - Manutenção_PTR_Taxiway'!$A$3:$I$22,9,FALSE)+VLOOKUP($A7,'CAPEX - Manutenção_Pátio'!$A$3:$I$22,9,FALSE)+VLOOKUP($A7,'CAPEX - Manut._Desemborracham.'!$A$3:$L$54,12,FALSE)</f>
        <v>6208416.25</v>
      </c>
      <c r="AB7" s="1">
        <v>0</v>
      </c>
      <c r="AC7" s="1">
        <f>VLOOKUP($A7,'CAPEX - Manut._Desemborracham.'!$A$3:$M$54,13,FALSE)</f>
        <v>0</v>
      </c>
      <c r="AD7" s="1">
        <v>0</v>
      </c>
      <c r="AE7" s="1">
        <f>VLOOKUP($A7,'CAPEX - Manut._Desemborracham.'!$A$3:$N$54,14,FALSE)</f>
        <v>0</v>
      </c>
      <c r="AF7" s="1">
        <f>VLOOKUP($A7,'CAPEX - Manutenção_PPD'!$A$3:$J$22,10,FALSE)+VLOOKUP($A7,'CAPEX - Manutenção_PTR_Taxiway'!$A$3:$J$22,10,FALSE)+VLOOKUP($A7,'CAPEX - Manutenção_Pátio'!$A$3:$J$22,10,FALSE)</f>
        <v>180113.9</v>
      </c>
      <c r="AG7" s="1">
        <f>VLOOKUP($A7,'CAPEX - Manut._Desemborracham.'!$A$3:$O$54,15,FALSE)</f>
        <v>0</v>
      </c>
      <c r="AH7" s="1">
        <v>0</v>
      </c>
      <c r="AI7" s="1">
        <f>VLOOKUP($A7,'CAPEX - Manutenção_PPD'!$A$3:$K$22,11,FALSE)+VLOOKUP($A7,'CAPEX - Manutenção_PTR_Taxiway'!$A$3:$K$22,11,FALSE)+VLOOKUP($A7,'CAPEX - Manutenção_Pátio'!$A$3:$K$22,11,FALSE)+VLOOKUP($A7,'CAPEX - Manut._Desemborracham.'!$A$3:$P$54,16,FALSE)</f>
        <v>180113.9</v>
      </c>
      <c r="AJ7" s="1">
        <v>0</v>
      </c>
      <c r="AK7" s="1">
        <f>VLOOKUP($A7,'CAPEX - Manut._Desemborracham.'!$A$3:$Q$54,17,FALSE)</f>
        <v>0</v>
      </c>
      <c r="AL7" s="1">
        <v>0</v>
      </c>
      <c r="AM7" s="1">
        <f t="shared" si="0"/>
        <v>79191574.890000015</v>
      </c>
      <c r="AN7" s="3">
        <v>1</v>
      </c>
      <c r="AO7" s="3" t="s">
        <v>97</v>
      </c>
      <c r="AP7" s="3" t="s">
        <v>97</v>
      </c>
      <c r="AQ7" s="3" t="s">
        <v>97</v>
      </c>
      <c r="AR7" s="3" t="s">
        <v>97</v>
      </c>
      <c r="AS7" s="3" t="s">
        <v>97</v>
      </c>
      <c r="AT7" s="3" t="s">
        <v>97</v>
      </c>
      <c r="AU7" t="s">
        <v>127</v>
      </c>
      <c r="AV7" s="3">
        <f>VLOOKUP(A7,'BASE PAN - CAPEX'!$A$3:$H$22,8,FALSE)</f>
        <v>1</v>
      </c>
    </row>
    <row r="8" spans="1:48" x14ac:dyDescent="0.25">
      <c r="A8" t="s">
        <v>53</v>
      </c>
      <c r="B8" t="s">
        <v>54</v>
      </c>
      <c r="C8" t="s">
        <v>55</v>
      </c>
      <c r="D8" t="s">
        <v>54</v>
      </c>
      <c r="E8" t="s">
        <v>34</v>
      </c>
      <c r="F8" t="s">
        <v>28</v>
      </c>
      <c r="G8" t="s">
        <v>29</v>
      </c>
      <c r="H8" s="1">
        <f>((VLOOKUP($A8,'BASE PAN - CAPEX'!$A$3:$I$22,9,FALSE)/3)*$C$24)+VLOOKUP($A8,'CAPEX - Manutenção_PPD'!$A$3:$C$22,3,FALSE)+VLOOKUP($A8,'CAPEX - Manutenção_PTR_Taxiway'!$A$3:$C$22,3,FALSE)+VLOOKUP($A8,'CAPEX - Manutenção_Pátio'!$A$3:$C$22,3,FALSE)+VLOOKUP($A8,'CAPEX - Navegação Aérea'!$A$3:$H$22,8,FALSE)</f>
        <v>26333333.333333336</v>
      </c>
      <c r="I8" s="1">
        <f>((VLOOKUP($A8,'BASE PAN - CAPEX'!$A$3:$I$22,9,FALSE)/3)*$C$24)+VLOOKUP($A8,'CAPEX - Manut._Desemborracham.'!$A$3:$C$54,3,FALSE)</f>
        <v>26391089.847021487</v>
      </c>
      <c r="J8" s="1">
        <f>(VLOOKUP($A8,'BASE PAN - CAPEX'!$A$3:$I$22,9,FALSE)/3)*$C$24</f>
        <v>26333333.333333336</v>
      </c>
      <c r="K8" s="1">
        <f>VLOOKUP($A8,'CAPEX - Manut._Desemborracham.'!$A$3:$D$54,4,FALSE)</f>
        <v>57756.513688150284</v>
      </c>
      <c r="L8" s="1">
        <f>VLOOKUP($A8,'CAPEX - Manutenção_PPD'!$A$3:$D$22,4,FALSE)+VLOOKUP($A8,'CAPEX - Manutenção_PTR_Taxiway'!$A$3:$D$22,4,FALSE)+VLOOKUP($A8,'CAPEX - Manutenção_Pátio'!$A$3:$D$22,4,FALSE)</f>
        <v>194684.31</v>
      </c>
      <c r="M8" s="1">
        <f>VLOOKUP($A8,'CAPEX - Manut._Desemborracham.'!$A$3:$E$54,5,FALSE)</f>
        <v>57756.513688150284</v>
      </c>
      <c r="N8" s="1">
        <v>0</v>
      </c>
      <c r="O8" s="1">
        <f>VLOOKUP($A8,'CAPEX - Manutenção_PPD'!$A$3:$E$22,5,FALSE)+VLOOKUP($A8,'CAPEX - Manutenção_PTR_Taxiway'!$A$3:$E$22,5,FALSE)+VLOOKUP($A8,'CAPEX - Manutenção_Pátio'!$A$3:$E$22,5,FALSE)+VLOOKUP($A8,'CAPEX - Manut._Desemborracham.'!$A$3:$F$54,6,FALSE)</f>
        <v>252440.82368815027</v>
      </c>
      <c r="P8" s="1">
        <v>0</v>
      </c>
      <c r="Q8" s="1">
        <f>VLOOKUP($A8,'CAPEX - Manutenção_PPD'!$A$3:$F$22,6,FALSE)+VLOOKUP($A8,'CAPEX - Manutenção_PTR_Taxiway'!$A$3:$F$22,6,FALSE)+VLOOKUP($A8,'CAPEX - Manutenção_Pátio'!$A$3:$F$22,6,FALSE)+VLOOKUP($A8,'CAPEX - Manut._Desemborracham.'!$A$3:$G$54,7,FALSE)</f>
        <v>9916710.1936881486</v>
      </c>
      <c r="R8" s="1">
        <v>0</v>
      </c>
      <c r="S8" s="1">
        <f>VLOOKUP($A8,'CAPEX - Manut._Desemborracham.'!$A$3:$H$54,8,FALSE)</f>
        <v>57756.513688150284</v>
      </c>
      <c r="T8" s="1">
        <v>0</v>
      </c>
      <c r="U8" s="1">
        <f>VLOOKUP($A8,'CAPEX - Manut._Desemborracham.'!$A$3:$I$54,9,FALSE)</f>
        <v>57756.513688150284</v>
      </c>
      <c r="V8" s="1">
        <f>VLOOKUP($A8,'CAPEX - Manutenção_PPD'!$A$3:$G$22,7,FALSE)+VLOOKUP($A8,'CAPEX - Manutenção_PTR_Taxiway'!$A$3:$G$22,7,FALSE)+VLOOKUP($A8,'CAPEX - Manutenção_Pátio'!$A$3:$G$22,7,FALSE)</f>
        <v>5730962.6100000003</v>
      </c>
      <c r="W8" s="1">
        <f>VLOOKUP($A8,'CAPEX - Manut._Desemborracham.'!$A$3:$J$54,10,FALSE)</f>
        <v>57756.513688150284</v>
      </c>
      <c r="X8" s="1">
        <v>0</v>
      </c>
      <c r="Y8" s="1">
        <f>VLOOKUP($A8,'CAPEX - Manutenção_PPD'!$A$3:$H$22,8,FALSE)+VLOOKUP($A8,'CAPEX - Manutenção_PTR_Taxiway'!$A$3:$H$22,8,FALSE)+VLOOKUP($A8,'CAPEX - Manutenção_Pátio'!$A$3:$H$22,8,FALSE)+VLOOKUP($A8,'CAPEX - Manut._Desemborracham.'!$A$3:$K$54,11,FALSE)</f>
        <v>252440.82368815027</v>
      </c>
      <c r="Z8" s="1">
        <v>0</v>
      </c>
      <c r="AA8" s="1">
        <f>VLOOKUP($A8,'CAPEX - Manutenção_PPD'!$A$3:$I$22,9,FALSE)+VLOOKUP($A8,'CAPEX - Manutenção_PTR_Taxiway'!$A$3:$I$22,9,FALSE)+VLOOKUP($A8,'CAPEX - Manutenção_Pátio'!$A$3:$I$22,9,FALSE)+VLOOKUP($A8,'CAPEX - Manut._Desemborracham.'!$A$3:$L$54,12,FALSE)</f>
        <v>9916710.1936881486</v>
      </c>
      <c r="AB8" s="1">
        <v>0</v>
      </c>
      <c r="AC8" s="1">
        <f>VLOOKUP($A8,'CAPEX - Manut._Desemborracham.'!$A$3:$M$54,13,FALSE)</f>
        <v>57756.513688150284</v>
      </c>
      <c r="AD8" s="1">
        <v>0</v>
      </c>
      <c r="AE8" s="1">
        <f>VLOOKUP($A8,'CAPEX - Manut._Desemborracham.'!$A$3:$N$54,14,FALSE)</f>
        <v>57756.513688150284</v>
      </c>
      <c r="AF8" s="1">
        <f>VLOOKUP($A8,'CAPEX - Manutenção_PPD'!$A$3:$J$22,10,FALSE)+VLOOKUP($A8,'CAPEX - Manutenção_PTR_Taxiway'!$A$3:$J$22,10,FALSE)+VLOOKUP($A8,'CAPEX - Manutenção_Pátio'!$A$3:$J$22,10,FALSE)</f>
        <v>194684.31</v>
      </c>
      <c r="AG8" s="1">
        <f>VLOOKUP($A8,'CAPEX - Manut._Desemborracham.'!$A$3:$O$54,15,FALSE)</f>
        <v>57756.513688150284</v>
      </c>
      <c r="AH8" s="1">
        <v>0</v>
      </c>
      <c r="AI8" s="1">
        <f>VLOOKUP($A8,'CAPEX - Manutenção_PPD'!$A$3:$K$22,11,FALSE)+VLOOKUP($A8,'CAPEX - Manutenção_PTR_Taxiway'!$A$3:$K$22,11,FALSE)+VLOOKUP($A8,'CAPEX - Manutenção_Pátio'!$A$3:$K$22,11,FALSE)+VLOOKUP($A8,'CAPEX - Manut._Desemborracham.'!$A$3:$P$54,16,FALSE)</f>
        <v>252440.82368815027</v>
      </c>
      <c r="AJ8" s="1">
        <v>0</v>
      </c>
      <c r="AK8" s="1">
        <f>VLOOKUP($A8,'CAPEX - Manut._Desemborracham.'!$A$3:$Q$54,17,FALSE)</f>
        <v>57756.513688150284</v>
      </c>
      <c r="AL8" s="1">
        <v>0</v>
      </c>
      <c r="AM8" s="1">
        <f t="shared" si="0"/>
        <v>106288639.22532223</v>
      </c>
      <c r="AN8" s="3">
        <v>1</v>
      </c>
      <c r="AO8" s="3" t="s">
        <v>97</v>
      </c>
      <c r="AP8" s="3">
        <v>2048</v>
      </c>
      <c r="AQ8" s="3">
        <v>2032</v>
      </c>
      <c r="AR8" s="3" t="s">
        <v>97</v>
      </c>
      <c r="AS8" s="3">
        <v>3</v>
      </c>
      <c r="AT8" s="3">
        <v>2</v>
      </c>
      <c r="AU8" t="s">
        <v>151</v>
      </c>
      <c r="AV8" s="3">
        <f>VLOOKUP(A8,'BASE PAN - CAPEX'!$A$3:$H$22,8,FALSE)</f>
        <v>3</v>
      </c>
    </row>
    <row r="9" spans="1:48" x14ac:dyDescent="0.25">
      <c r="A9" t="s">
        <v>56</v>
      </c>
      <c r="B9" t="s">
        <v>57</v>
      </c>
      <c r="C9" t="s">
        <v>58</v>
      </c>
      <c r="D9" t="s">
        <v>57</v>
      </c>
      <c r="E9" t="s">
        <v>25</v>
      </c>
      <c r="F9" t="s">
        <v>28</v>
      </c>
      <c r="G9" t="s">
        <v>29</v>
      </c>
      <c r="H9" s="1">
        <f>((VLOOKUP($A9,'BASE PAN - CAPEX'!$A$3:$I$22,9,FALSE)/3)*$C$25)+VLOOKUP($A9,'CAPEX - Manutenção_PPD'!$A$3:$C$22,3,FALSE)+VLOOKUP($A9,'CAPEX - Manutenção_PTR_Taxiway'!$A$3:$C$22,3,FALSE)+VLOOKUP($A9,'CAPEX - Manutenção_Pátio'!$A$3:$C$22,3,FALSE)+VLOOKUP($A9,'CAPEX - Navegação Aérea'!$A$3:$H$22,8,FALSE)</f>
        <v>25954316.799999997</v>
      </c>
      <c r="I9" s="1">
        <f>((VLOOKUP($A9,'BASE PAN - CAPEX'!$A$3:$I$22,9,FALSE)/3)*$C$25)+VLOOKUP($A9,'CAPEX - Manut._Desemborracham.'!$A$3:$C$54,3,FALSE)</f>
        <v>8482695.8372310065</v>
      </c>
      <c r="J9" s="1">
        <f>(VLOOKUP($A9,'BASE PAN - CAPEX'!$A$3:$I$22,9,FALSE)/3)*$C$25</f>
        <v>8397000</v>
      </c>
      <c r="K9" s="1">
        <f>VLOOKUP($A9,'CAPEX - Manut._Desemborracham.'!$A$3:$D$54,4,FALSE)</f>
        <v>85695.837231005775</v>
      </c>
      <c r="L9" s="1">
        <f>VLOOKUP($A9,'CAPEX - Manutenção_PPD'!$A$3:$D$22,4,FALSE)+VLOOKUP($A9,'CAPEX - Manutenção_PTR_Taxiway'!$A$3:$D$22,4,FALSE)+VLOOKUP($A9,'CAPEX - Manutenção_Pátio'!$A$3:$D$22,4,FALSE)</f>
        <v>226461.74</v>
      </c>
      <c r="M9" s="1">
        <f>VLOOKUP($A9,'CAPEX - Manut._Desemborracham.'!$A$3:$E$54,5,FALSE)</f>
        <v>85695.837231005775</v>
      </c>
      <c r="N9" s="1">
        <v>0</v>
      </c>
      <c r="O9" s="1">
        <f>VLOOKUP($A9,'CAPEX - Manutenção_PPD'!$A$3:$E$22,5,FALSE)+VLOOKUP($A9,'CAPEX - Manutenção_PTR_Taxiway'!$A$3:$E$22,5,FALSE)+VLOOKUP($A9,'CAPEX - Manutenção_Pátio'!$A$3:$E$22,5,FALSE)+VLOOKUP($A9,'CAPEX - Manut._Desemborracham.'!$A$3:$F$54,6,FALSE)</f>
        <v>312157.57723100577</v>
      </c>
      <c r="P9" s="1">
        <v>0</v>
      </c>
      <c r="Q9" s="1">
        <f>VLOOKUP($A9,'CAPEX - Manutenção_PPD'!$A$3:$F$22,6,FALSE)+VLOOKUP($A9,'CAPEX - Manutenção_PTR_Taxiway'!$A$3:$F$22,6,FALSE)+VLOOKUP($A9,'CAPEX - Manutenção_Pátio'!$A$3:$F$22,6,FALSE)+VLOOKUP($A9,'CAPEX - Manut._Desemborracham.'!$A$3:$G$54,7,FALSE)</f>
        <v>11187788.127231007</v>
      </c>
      <c r="R9" s="1">
        <v>0</v>
      </c>
      <c r="S9" s="1">
        <f>VLOOKUP($A9,'CAPEX - Manut._Desemborracham.'!$A$3:$H$54,8,FALSE)</f>
        <v>85695.837231005775</v>
      </c>
      <c r="T9" s="1">
        <v>0</v>
      </c>
      <c r="U9" s="1">
        <f>VLOOKUP($A9,'CAPEX - Manut._Desemborracham.'!$A$3:$I$54,9,FALSE)</f>
        <v>85695.837231005775</v>
      </c>
      <c r="V9" s="1">
        <f>VLOOKUP($A9,'CAPEX - Manutenção_PPD'!$A$3:$G$22,7,FALSE)+VLOOKUP($A9,'CAPEX - Manutenção_PTR_Taxiway'!$A$3:$G$22,7,FALSE)+VLOOKUP($A9,'CAPEX - Manutenção_Pátio'!$A$3:$G$22,7,FALSE)</f>
        <v>7321758.5600000005</v>
      </c>
      <c r="W9" s="1">
        <f>VLOOKUP($A9,'CAPEX - Manut._Desemborracham.'!$A$3:$J$54,10,FALSE)</f>
        <v>85695.837231005775</v>
      </c>
      <c r="X9" s="1">
        <v>0</v>
      </c>
      <c r="Y9" s="1">
        <f>VLOOKUP($A9,'CAPEX - Manutenção_PPD'!$A$3:$H$22,8,FALSE)+VLOOKUP($A9,'CAPEX - Manutenção_PTR_Taxiway'!$A$3:$H$22,8,FALSE)+VLOOKUP($A9,'CAPEX - Manutenção_Pátio'!$A$3:$H$22,8,FALSE)+VLOOKUP($A9,'CAPEX - Manut._Desemborracham.'!$A$3:$K$54,11,FALSE)</f>
        <v>312157.57723100577</v>
      </c>
      <c r="Z9" s="1">
        <v>0</v>
      </c>
      <c r="AA9" s="1">
        <f>VLOOKUP($A9,'CAPEX - Manutenção_PPD'!$A$3:$I$22,9,FALSE)+VLOOKUP($A9,'CAPEX - Manutenção_PTR_Taxiway'!$A$3:$I$22,9,FALSE)+VLOOKUP($A9,'CAPEX - Manutenção_Pátio'!$A$3:$I$22,9,FALSE)+VLOOKUP($A9,'CAPEX - Manut._Desemborracham.'!$A$3:$L$54,12,FALSE)</f>
        <v>11187788.127231007</v>
      </c>
      <c r="AB9" s="1">
        <v>0</v>
      </c>
      <c r="AC9" s="1">
        <f>VLOOKUP($A9,'CAPEX - Manut._Desemborracham.'!$A$3:$M$54,13,FALSE)</f>
        <v>85695.837231005775</v>
      </c>
      <c r="AD9" s="1">
        <v>0</v>
      </c>
      <c r="AE9" s="1">
        <f>VLOOKUP($A9,'CAPEX - Manut._Desemborracham.'!$A$3:$N$54,14,FALSE)</f>
        <v>85695.837231005775</v>
      </c>
      <c r="AF9" s="1">
        <f>VLOOKUP($A9,'CAPEX - Manutenção_PPD'!$A$3:$J$22,10,FALSE)+VLOOKUP($A9,'CAPEX - Manutenção_PTR_Taxiway'!$A$3:$J$22,10,FALSE)+VLOOKUP($A9,'CAPEX - Manutenção_Pátio'!$A$3:$J$22,10,FALSE)</f>
        <v>226461.74</v>
      </c>
      <c r="AG9" s="1">
        <f>VLOOKUP($A9,'CAPEX - Manut._Desemborracham.'!$A$3:$O$54,15,FALSE)</f>
        <v>85695.837231005775</v>
      </c>
      <c r="AH9" s="1">
        <v>0</v>
      </c>
      <c r="AI9" s="1">
        <f>VLOOKUP($A9,'CAPEX - Manutenção_PPD'!$A$3:$K$22,11,FALSE)+VLOOKUP($A9,'CAPEX - Manutenção_PTR_Taxiway'!$A$3:$K$22,11,FALSE)+VLOOKUP($A9,'CAPEX - Manutenção_Pátio'!$A$3:$K$22,11,FALSE)+VLOOKUP($A9,'CAPEX - Manut._Desemborracham.'!$A$3:$P$54,16,FALSE)</f>
        <v>312157.57723100577</v>
      </c>
      <c r="AJ9" s="1">
        <v>0</v>
      </c>
      <c r="AK9" s="1">
        <f>VLOOKUP($A9,'CAPEX - Manut._Desemborracham.'!$A$3:$Q$54,17,FALSE)</f>
        <v>85695.837231005775</v>
      </c>
      <c r="AL9" s="1">
        <v>0</v>
      </c>
      <c r="AM9" s="1">
        <f t="shared" si="0"/>
        <v>74692006.198465094</v>
      </c>
      <c r="AN9" s="3">
        <v>2</v>
      </c>
      <c r="AO9" s="3" t="s">
        <v>97</v>
      </c>
      <c r="AP9" s="3" t="s">
        <v>97</v>
      </c>
      <c r="AQ9" s="3">
        <v>2027</v>
      </c>
      <c r="AR9" s="3" t="s">
        <v>97</v>
      </c>
      <c r="AS9" s="3" t="s">
        <v>97</v>
      </c>
      <c r="AT9" s="3">
        <v>3</v>
      </c>
      <c r="AU9" t="s">
        <v>127</v>
      </c>
      <c r="AV9" s="3">
        <f>VLOOKUP(A9,'BASE PAN - CAPEX'!$A$3:$H$22,8,FALSE)</f>
        <v>3</v>
      </c>
    </row>
    <row r="10" spans="1:48" x14ac:dyDescent="0.25">
      <c r="A10" t="s">
        <v>63</v>
      </c>
      <c r="B10" t="s">
        <v>64</v>
      </c>
      <c r="C10" t="s">
        <v>65</v>
      </c>
      <c r="D10" t="s">
        <v>66</v>
      </c>
      <c r="E10" t="s">
        <v>34</v>
      </c>
      <c r="F10" t="s">
        <v>28</v>
      </c>
      <c r="G10" t="s">
        <v>29</v>
      </c>
      <c r="H10" s="1">
        <f>((VLOOKUP($A10,'BASE PAN - CAPEX'!$A$3:$I$22,9,FALSE)/3)*$C$24)+VLOOKUP($A10,'CAPEX - Manutenção_PPD'!$A$3:$C$22,3,FALSE)+VLOOKUP($A10,'CAPEX - Manutenção_PTR_Taxiway'!$A$3:$C$22,3,FALSE)+VLOOKUP($A10,'CAPEX - Manutenção_Pátio'!$A$3:$C$22,3,FALSE)+VLOOKUP($A10,'CAPEX - Navegação Aérea'!$A$3:$H$22,8,FALSE)</f>
        <v>21469666.666666668</v>
      </c>
      <c r="I10" s="1">
        <f>((VLOOKUP($A10,'BASE PAN - CAPEX'!$A$3:$I$22,9,FALSE)/3)*$C$24)+VLOOKUP($A10,'CAPEX - Manut._Desemborracham.'!$A$3:$C$54,3,FALSE)</f>
        <v>20658017.802271649</v>
      </c>
      <c r="J10" s="1">
        <f>(VLOOKUP($A10,'BASE PAN - CAPEX'!$A$3:$I$22,9,FALSE)/3)*$C$24</f>
        <v>20594666.666666668</v>
      </c>
      <c r="K10" s="1">
        <f>VLOOKUP($A10,'CAPEX - Manut._Desemborracham.'!$A$3:$D$54,4,FALSE)</f>
        <v>63351.135604982657</v>
      </c>
      <c r="L10" s="1">
        <f>VLOOKUP($A10,'CAPEX - Manutenção_PPD'!$A$3:$D$22,4,FALSE)+VLOOKUP($A10,'CAPEX - Manutenção_PTR_Taxiway'!$A$3:$D$22,4,FALSE)+VLOOKUP($A10,'CAPEX - Manutenção_Pátio'!$A$3:$D$22,4,FALSE)</f>
        <v>197554.34000000003</v>
      </c>
      <c r="M10" s="1">
        <f>VLOOKUP($A10,'CAPEX - Manut._Desemborracham.'!$A$3:$E$54,5,FALSE)</f>
        <v>63351.135604982657</v>
      </c>
      <c r="N10" s="1">
        <v>0</v>
      </c>
      <c r="O10" s="1">
        <f>VLOOKUP($A10,'CAPEX - Manutenção_PPD'!$A$3:$E$22,5,FALSE)+VLOOKUP($A10,'CAPEX - Manutenção_PTR_Taxiway'!$A$3:$E$22,5,FALSE)+VLOOKUP($A10,'CAPEX - Manutenção_Pátio'!$A$3:$E$22,5,FALSE)+VLOOKUP($A10,'CAPEX - Manut._Desemborracham.'!$A$3:$F$54,6,FALSE)</f>
        <v>260905.4756049827</v>
      </c>
      <c r="P10" s="1">
        <v>0</v>
      </c>
      <c r="Q10" s="1">
        <f>VLOOKUP($A10,'CAPEX - Manutenção_PPD'!$A$3:$F$22,6,FALSE)+VLOOKUP($A10,'CAPEX - Manutenção_PTR_Taxiway'!$A$3:$F$22,6,FALSE)+VLOOKUP($A10,'CAPEX - Manutenção_Pátio'!$A$3:$F$22,6,FALSE)+VLOOKUP($A10,'CAPEX - Manut._Desemborracham.'!$A$3:$G$54,7,FALSE)</f>
        <v>6907644.5256049819</v>
      </c>
      <c r="R10" s="1">
        <v>0</v>
      </c>
      <c r="S10" s="1">
        <f>VLOOKUP($A10,'CAPEX - Manut._Desemborracham.'!$A$3:$H$54,8,FALSE)</f>
        <v>63351.135604982657</v>
      </c>
      <c r="T10" s="1">
        <v>0</v>
      </c>
      <c r="U10" s="1">
        <f>VLOOKUP($A10,'CAPEX - Manut._Desemborracham.'!$A$3:$I$54,9,FALSE)</f>
        <v>63351.135604982657</v>
      </c>
      <c r="V10" s="1">
        <f>VLOOKUP($A10,'CAPEX - Manutenção_PPD'!$A$3:$G$22,7,FALSE)+VLOOKUP($A10,'CAPEX - Manutenção_PTR_Taxiway'!$A$3:$G$22,7,FALSE)+VLOOKUP($A10,'CAPEX - Manutenção_Pátio'!$A$3:$G$22,7,FALSE)</f>
        <v>5733832.6399999997</v>
      </c>
      <c r="W10" s="1">
        <f>VLOOKUP($A10,'CAPEX - Manut._Desemborracham.'!$A$3:$J$54,10,FALSE)</f>
        <v>63351.135604982657</v>
      </c>
      <c r="X10" s="1">
        <v>0</v>
      </c>
      <c r="Y10" s="1">
        <f>VLOOKUP($A10,'CAPEX - Manutenção_PPD'!$A$3:$H$22,8,FALSE)+VLOOKUP($A10,'CAPEX - Manutenção_PTR_Taxiway'!$A$3:$H$22,8,FALSE)+VLOOKUP($A10,'CAPEX - Manutenção_Pátio'!$A$3:$H$22,8,FALSE)+VLOOKUP($A10,'CAPEX - Manut._Desemborracham.'!$A$3:$K$54,11,FALSE)</f>
        <v>260905.4756049827</v>
      </c>
      <c r="Z10" s="1">
        <v>0</v>
      </c>
      <c r="AA10" s="1">
        <f>VLOOKUP($A10,'CAPEX - Manutenção_PPD'!$A$3:$I$22,9,FALSE)+VLOOKUP($A10,'CAPEX - Manutenção_PTR_Taxiway'!$A$3:$I$22,9,FALSE)+VLOOKUP($A10,'CAPEX - Manutenção_Pátio'!$A$3:$I$22,9,FALSE)+VLOOKUP($A10,'CAPEX - Manut._Desemborracham.'!$A$3:$L$54,12,FALSE)</f>
        <v>6907644.5256049819</v>
      </c>
      <c r="AB10" s="1">
        <v>0</v>
      </c>
      <c r="AC10" s="1">
        <f>VLOOKUP($A10,'CAPEX - Manut._Desemborracham.'!$A$3:$M$54,13,FALSE)</f>
        <v>63351.135604982657</v>
      </c>
      <c r="AD10" s="1">
        <v>0</v>
      </c>
      <c r="AE10" s="1">
        <f>VLOOKUP($A10,'CAPEX - Manut._Desemborracham.'!$A$3:$N$54,14,FALSE)</f>
        <v>63351.135604982657</v>
      </c>
      <c r="AF10" s="1">
        <f>VLOOKUP($A10,'CAPEX - Manutenção_PPD'!$A$3:$J$22,10,FALSE)+VLOOKUP($A10,'CAPEX - Manutenção_PTR_Taxiway'!$A$3:$J$22,10,FALSE)+VLOOKUP($A10,'CAPEX - Manutenção_Pátio'!$A$3:$J$22,10,FALSE)</f>
        <v>197554.34000000003</v>
      </c>
      <c r="AG10" s="1">
        <f>VLOOKUP($A10,'CAPEX - Manut._Desemborracham.'!$A$3:$O$54,15,FALSE)</f>
        <v>63351.135604982657</v>
      </c>
      <c r="AH10" s="1">
        <v>0</v>
      </c>
      <c r="AI10" s="1">
        <f>VLOOKUP($A10,'CAPEX - Manutenção_PPD'!$A$3:$K$22,11,FALSE)+VLOOKUP($A10,'CAPEX - Manutenção_PTR_Taxiway'!$A$3:$K$22,11,FALSE)+VLOOKUP($A10,'CAPEX - Manutenção_Pátio'!$A$3:$K$22,11,FALSE)+VLOOKUP($A10,'CAPEX - Manut._Desemborracham.'!$A$3:$P$54,16,FALSE)</f>
        <v>260905.4756049827</v>
      </c>
      <c r="AJ10" s="1">
        <v>0</v>
      </c>
      <c r="AK10" s="1">
        <f>VLOOKUP($A10,'CAPEX - Manut._Desemborracham.'!$A$3:$Q$54,17,FALSE)</f>
        <v>63351.135604982657</v>
      </c>
      <c r="AL10" s="1">
        <v>0</v>
      </c>
      <c r="AM10" s="1">
        <f t="shared" si="0"/>
        <v>84019458.154074714</v>
      </c>
      <c r="AN10" s="3">
        <v>2</v>
      </c>
      <c r="AO10" s="3" t="s">
        <v>97</v>
      </c>
      <c r="AP10" s="3" t="s">
        <v>97</v>
      </c>
      <c r="AQ10" s="3">
        <v>2027</v>
      </c>
      <c r="AR10" s="3" t="s">
        <v>97</v>
      </c>
      <c r="AS10" s="3" t="s">
        <v>97</v>
      </c>
      <c r="AT10" s="3">
        <v>3</v>
      </c>
      <c r="AU10" t="s">
        <v>151</v>
      </c>
      <c r="AV10" s="3">
        <f>VLOOKUP(A10,'BASE PAN - CAPEX'!$A$3:$H$22,8,FALSE)</f>
        <v>3</v>
      </c>
    </row>
    <row r="11" spans="1:48" x14ac:dyDescent="0.25">
      <c r="A11" t="s">
        <v>67</v>
      </c>
      <c r="B11" t="s">
        <v>68</v>
      </c>
      <c r="C11" t="s">
        <v>69</v>
      </c>
      <c r="D11" t="s">
        <v>70</v>
      </c>
      <c r="E11" t="s">
        <v>31</v>
      </c>
      <c r="F11" t="s">
        <v>28</v>
      </c>
      <c r="G11" t="s">
        <v>29</v>
      </c>
      <c r="H11" s="1">
        <f>((VLOOKUP($A11,'BASE PAN - CAPEX'!$A$3:$I$22,9,FALSE)/3)*$C$24)+VLOOKUP($A11,'CAPEX - Manutenção_PPD'!$A$3:$C$22,3,FALSE)+VLOOKUP($A11,'CAPEX - Manutenção_PTR_Taxiway'!$A$3:$C$22,3,FALSE)+VLOOKUP($A11,'CAPEX - Manutenção_Pátio'!$A$3:$C$22,3,FALSE)+VLOOKUP($A11,'CAPEX - Navegação Aérea'!$A$3:$H$22,8,FALSE)</f>
        <v>7584333.333333334</v>
      </c>
      <c r="I11" s="1">
        <f>((VLOOKUP($A11,'BASE PAN - CAPEX'!$A$3:$I$22,9,FALSE)/3)*$C$24)+VLOOKUP($A11,'CAPEX - Manut._Desemborracham.'!$A$3:$C$54,3,FALSE)</f>
        <v>6709333.333333334</v>
      </c>
      <c r="J11" s="1">
        <f>(VLOOKUP($A11,'BASE PAN - CAPEX'!$A$3:$I$22,9,FALSE)/3)*$C$24</f>
        <v>6709333.333333334</v>
      </c>
      <c r="K11" s="1">
        <f>VLOOKUP($A11,'CAPEX - Manut._Desemborracham.'!$A$3:$D$54,4,FALSE)</f>
        <v>0</v>
      </c>
      <c r="L11" s="1">
        <f>VLOOKUP($A11,'CAPEX - Manutenção_PPD'!$A$3:$D$22,4,FALSE)+VLOOKUP($A11,'CAPEX - Manutenção_PTR_Taxiway'!$A$3:$D$22,4,FALSE)+VLOOKUP($A11,'CAPEX - Manutenção_Pátio'!$A$3:$D$22,4,FALSE)</f>
        <v>173426.21</v>
      </c>
      <c r="M11" s="1">
        <f>VLOOKUP($A11,'CAPEX - Manut._Desemborracham.'!$A$3:$E$54,5,FALSE)</f>
        <v>0</v>
      </c>
      <c r="N11" s="1">
        <v>0</v>
      </c>
      <c r="O11" s="1">
        <f>VLOOKUP($A11,'CAPEX - Manutenção_PPD'!$A$3:$E$22,5,FALSE)+VLOOKUP($A11,'CAPEX - Manutenção_PTR_Taxiway'!$A$3:$E$22,5,FALSE)+VLOOKUP($A11,'CAPEX - Manutenção_Pátio'!$A$3:$E$22,5,FALSE)+VLOOKUP($A11,'CAPEX - Manut._Desemborracham.'!$A$3:$F$54,6,FALSE)</f>
        <v>173426.21</v>
      </c>
      <c r="P11" s="1">
        <v>0</v>
      </c>
      <c r="Q11" s="1">
        <f>VLOOKUP($A11,'CAPEX - Manutenção_PPD'!$A$3:$F$22,6,FALSE)+VLOOKUP($A11,'CAPEX - Manutenção_PTR_Taxiway'!$A$3:$F$22,6,FALSE)+VLOOKUP($A11,'CAPEX - Manutenção_Pátio'!$A$3:$F$22,6,FALSE)+VLOOKUP($A11,'CAPEX - Manut._Desemborracham.'!$A$3:$G$54,7,FALSE)</f>
        <v>6436027.4199999999</v>
      </c>
      <c r="R11" s="1">
        <v>0</v>
      </c>
      <c r="S11" s="1">
        <f>VLOOKUP($A11,'CAPEX - Manut._Desemborracham.'!$A$3:$H$54,8,FALSE)</f>
        <v>0</v>
      </c>
      <c r="T11" s="1">
        <v>0</v>
      </c>
      <c r="U11" s="1">
        <f>VLOOKUP($A11,'CAPEX - Manut._Desemborracham.'!$A$3:$I$54,9,FALSE)</f>
        <v>0</v>
      </c>
      <c r="V11" s="1">
        <f>VLOOKUP($A11,'CAPEX - Manutenção_PPD'!$A$3:$G$22,7,FALSE)+VLOOKUP($A11,'CAPEX - Manutenção_PTR_Taxiway'!$A$3:$G$22,7,FALSE)+VLOOKUP($A11,'CAPEX - Manutenção_Pátio'!$A$3:$G$22,7,FALSE)</f>
        <v>5802339.9400000004</v>
      </c>
      <c r="W11" s="1">
        <f>VLOOKUP($A11,'CAPEX - Manut._Desemborracham.'!$A$3:$J$54,10,FALSE)</f>
        <v>0</v>
      </c>
      <c r="X11" s="1">
        <v>0</v>
      </c>
      <c r="Y11" s="1">
        <f>VLOOKUP($A11,'CAPEX - Manutenção_PPD'!$A$3:$H$22,8,FALSE)+VLOOKUP($A11,'CAPEX - Manutenção_PTR_Taxiway'!$A$3:$H$22,8,FALSE)+VLOOKUP($A11,'CAPEX - Manutenção_Pátio'!$A$3:$H$22,8,FALSE)+VLOOKUP($A11,'CAPEX - Manut._Desemborracham.'!$A$3:$K$54,11,FALSE)</f>
        <v>173426.21</v>
      </c>
      <c r="Z11" s="1">
        <v>0</v>
      </c>
      <c r="AA11" s="1">
        <f>VLOOKUP($A11,'CAPEX - Manutenção_PPD'!$A$3:$I$22,9,FALSE)+VLOOKUP($A11,'CAPEX - Manutenção_PTR_Taxiway'!$A$3:$I$22,9,FALSE)+VLOOKUP($A11,'CAPEX - Manutenção_Pátio'!$A$3:$I$22,9,FALSE)+VLOOKUP($A11,'CAPEX - Manut._Desemborracham.'!$A$3:$L$54,12,FALSE)</f>
        <v>6436027.4199999999</v>
      </c>
      <c r="AB11" s="1">
        <v>0</v>
      </c>
      <c r="AC11" s="1">
        <f>VLOOKUP($A11,'CAPEX - Manut._Desemborracham.'!$A$3:$M$54,13,FALSE)</f>
        <v>0</v>
      </c>
      <c r="AD11" s="1">
        <v>0</v>
      </c>
      <c r="AE11" s="1">
        <f>VLOOKUP($A11,'CAPEX - Manut._Desemborracham.'!$A$3:$N$54,14,FALSE)</f>
        <v>0</v>
      </c>
      <c r="AF11" s="1">
        <f>VLOOKUP($A11,'CAPEX - Manutenção_PPD'!$A$3:$J$22,10,FALSE)+VLOOKUP($A11,'CAPEX - Manutenção_PTR_Taxiway'!$A$3:$J$22,10,FALSE)+VLOOKUP($A11,'CAPEX - Manutenção_Pátio'!$A$3:$J$22,10,FALSE)</f>
        <v>173426.21</v>
      </c>
      <c r="AG11" s="1">
        <f>VLOOKUP($A11,'CAPEX - Manut._Desemborracham.'!$A$3:$O$54,15,FALSE)</f>
        <v>0</v>
      </c>
      <c r="AH11" s="1">
        <v>0</v>
      </c>
      <c r="AI11" s="1">
        <f>VLOOKUP($A11,'CAPEX - Manutenção_PPD'!$A$3:$K$22,11,FALSE)+VLOOKUP($A11,'CAPEX - Manutenção_PTR_Taxiway'!$A$3:$K$22,11,FALSE)+VLOOKUP($A11,'CAPEX - Manutenção_Pátio'!$A$3:$K$22,11,FALSE)+VLOOKUP($A11,'CAPEX - Manut._Desemborracham.'!$A$3:$P$54,16,FALSE)</f>
        <v>173426.21</v>
      </c>
      <c r="AJ11" s="1">
        <v>0</v>
      </c>
      <c r="AK11" s="1">
        <f>VLOOKUP($A11,'CAPEX - Manut._Desemborracham.'!$A$3:$Q$54,17,FALSE)</f>
        <v>0</v>
      </c>
      <c r="AL11" s="1">
        <v>0</v>
      </c>
      <c r="AM11" s="1">
        <f t="shared" si="0"/>
        <v>40544525.830000006</v>
      </c>
      <c r="AN11" s="3">
        <v>1</v>
      </c>
      <c r="AO11" s="3" t="s">
        <v>97</v>
      </c>
      <c r="AP11" s="3" t="s">
        <v>97</v>
      </c>
      <c r="AQ11" s="3" t="s">
        <v>97</v>
      </c>
      <c r="AR11" s="3" t="s">
        <v>97</v>
      </c>
      <c r="AS11" s="3" t="s">
        <v>97</v>
      </c>
      <c r="AT11" s="3" t="s">
        <v>97</v>
      </c>
      <c r="AU11" t="s">
        <v>151</v>
      </c>
      <c r="AV11" s="3">
        <f>VLOOKUP(A11,'BASE PAN - CAPEX'!$A$3:$H$22,8,FALSE)</f>
        <v>1</v>
      </c>
    </row>
    <row r="12" spans="1:48" x14ac:dyDescent="0.25">
      <c r="A12" t="s">
        <v>71</v>
      </c>
      <c r="B12" t="s">
        <v>72</v>
      </c>
      <c r="C12" t="s">
        <v>73</v>
      </c>
      <c r="D12" t="s">
        <v>72</v>
      </c>
      <c r="E12" t="s">
        <v>25</v>
      </c>
      <c r="F12" t="s">
        <v>28</v>
      </c>
      <c r="G12" t="s">
        <v>29</v>
      </c>
      <c r="H12" s="1">
        <f>((VLOOKUP($A12,'BASE PAN - CAPEX'!$A$3:$I$22,9,FALSE)/3)*$C$25)+VLOOKUP($A12,'CAPEX - Manutenção_PPD'!$A$3:$C$22,3,FALSE)+VLOOKUP($A12,'CAPEX - Manutenção_PTR_Taxiway'!$A$3:$C$22,3,FALSE)+VLOOKUP($A12,'CAPEX - Manutenção_Pátio'!$A$3:$C$22,3,FALSE)+VLOOKUP($A12,'CAPEX - Navegação Aérea'!$A$3:$H$22,8,FALSE)</f>
        <v>4986000</v>
      </c>
      <c r="I12" s="1">
        <f>((VLOOKUP($A12,'BASE PAN - CAPEX'!$A$3:$I$22,9,FALSE)/3)*$C$25)+VLOOKUP($A12,'CAPEX - Manut._Desemborracham.'!$A$3:$C$54,3,FALSE)</f>
        <v>5076929.2083984856</v>
      </c>
      <c r="J12" s="1">
        <f>(VLOOKUP($A12,'BASE PAN - CAPEX'!$A$3:$I$22,9,FALSE)/3)*$C$25</f>
        <v>4986000</v>
      </c>
      <c r="K12" s="1">
        <f>VLOOKUP($A12,'CAPEX - Manut._Desemborracham.'!$A$3:$D$54,4,FALSE)</f>
        <v>90929.208398485542</v>
      </c>
      <c r="L12" s="1">
        <f>VLOOKUP($A12,'CAPEX - Manutenção_PPD'!$A$3:$D$22,4,FALSE)+VLOOKUP($A12,'CAPEX - Manutenção_PTR_Taxiway'!$A$3:$D$22,4,FALSE)+VLOOKUP($A12,'CAPEX - Manutenção_Pátio'!$A$3:$D$22,4,FALSE)</f>
        <v>219299.4</v>
      </c>
      <c r="M12" s="1">
        <f>VLOOKUP($A12,'CAPEX - Manut._Desemborracham.'!$A$3:$E$54,5,FALSE)</f>
        <v>90929.208398485542</v>
      </c>
      <c r="N12" s="1">
        <v>0</v>
      </c>
      <c r="O12" s="1">
        <f>VLOOKUP($A12,'CAPEX - Manutenção_PPD'!$A$3:$E$22,5,FALSE)+VLOOKUP($A12,'CAPEX - Manutenção_PTR_Taxiway'!$A$3:$E$22,5,FALSE)+VLOOKUP($A12,'CAPEX - Manutenção_Pátio'!$A$3:$E$22,5,FALSE)+VLOOKUP($A12,'CAPEX - Manut._Desemborracham.'!$A$3:$F$54,6,FALSE)</f>
        <v>310228.60839848552</v>
      </c>
      <c r="P12" s="1">
        <v>0</v>
      </c>
      <c r="Q12" s="1">
        <f>VLOOKUP($A12,'CAPEX - Manutenção_PPD'!$A$3:$F$22,6,FALSE)+VLOOKUP($A12,'CAPEX - Manutenção_PTR_Taxiway'!$A$3:$F$22,6,FALSE)+VLOOKUP($A12,'CAPEX - Manutenção_Pátio'!$A$3:$F$22,6,FALSE)+VLOOKUP($A12,'CAPEX - Manut._Desemborracham.'!$A$3:$G$54,7,FALSE)</f>
        <v>13300789.148398487</v>
      </c>
      <c r="R12" s="1">
        <v>0</v>
      </c>
      <c r="S12" s="1">
        <f>VLOOKUP($A12,'CAPEX - Manut._Desemborracham.'!$A$3:$H$54,8,FALSE)</f>
        <v>90929.208398485542</v>
      </c>
      <c r="T12" s="1">
        <v>0</v>
      </c>
      <c r="U12" s="1">
        <f>VLOOKUP($A12,'CAPEX - Manut._Desemborracham.'!$A$3:$I$54,9,FALSE)</f>
        <v>90929.208398485542</v>
      </c>
      <c r="V12" s="1">
        <f>VLOOKUP($A12,'CAPEX - Manutenção_PPD'!$A$3:$G$22,7,FALSE)+VLOOKUP($A12,'CAPEX - Manutenção_PTR_Taxiway'!$A$3:$G$22,7,FALSE)+VLOOKUP($A12,'CAPEX - Manutenção_Pátio'!$A$3:$G$22,7,FALSE)</f>
        <v>6026773.2699999996</v>
      </c>
      <c r="W12" s="1">
        <f>VLOOKUP($A12,'CAPEX - Manut._Desemborracham.'!$A$3:$J$54,10,FALSE)</f>
        <v>90929.208398485542</v>
      </c>
      <c r="X12" s="1">
        <v>0</v>
      </c>
      <c r="Y12" s="1">
        <f>VLOOKUP($A12,'CAPEX - Manutenção_PPD'!$A$3:$H$22,8,FALSE)+VLOOKUP($A12,'CAPEX - Manutenção_PTR_Taxiway'!$A$3:$H$22,8,FALSE)+VLOOKUP($A12,'CAPEX - Manutenção_Pátio'!$A$3:$H$22,8,FALSE)+VLOOKUP($A12,'CAPEX - Manut._Desemborracham.'!$A$3:$K$54,11,FALSE)</f>
        <v>310228.60839848552</v>
      </c>
      <c r="Z12" s="1">
        <v>0</v>
      </c>
      <c r="AA12" s="1">
        <f>VLOOKUP($A12,'CAPEX - Manutenção_PPD'!$A$3:$I$22,9,FALSE)+VLOOKUP($A12,'CAPEX - Manutenção_PTR_Taxiway'!$A$3:$I$22,9,FALSE)+VLOOKUP($A12,'CAPEX - Manutenção_Pátio'!$A$3:$I$22,9,FALSE)+VLOOKUP($A12,'CAPEX - Manut._Desemborracham.'!$A$3:$L$54,12,FALSE)</f>
        <v>13300789.148398487</v>
      </c>
      <c r="AB12" s="1">
        <v>0</v>
      </c>
      <c r="AC12" s="1">
        <f>VLOOKUP($A12,'CAPEX - Manut._Desemborracham.'!$A$3:$M$54,13,FALSE)</f>
        <v>90929.208398485542</v>
      </c>
      <c r="AD12" s="1">
        <v>0</v>
      </c>
      <c r="AE12" s="1">
        <f>VLOOKUP($A12,'CAPEX - Manut._Desemborracham.'!$A$3:$N$54,14,FALSE)</f>
        <v>90929.208398485542</v>
      </c>
      <c r="AF12" s="1">
        <f>VLOOKUP($A12,'CAPEX - Manutenção_PPD'!$A$3:$J$22,10,FALSE)+VLOOKUP($A12,'CAPEX - Manutenção_PTR_Taxiway'!$A$3:$J$22,10,FALSE)+VLOOKUP($A12,'CAPEX - Manutenção_Pátio'!$A$3:$J$22,10,FALSE)</f>
        <v>219299.4</v>
      </c>
      <c r="AG12" s="1">
        <f>VLOOKUP($A12,'CAPEX - Manut._Desemborracham.'!$A$3:$O$54,15,FALSE)</f>
        <v>90929.208398485542</v>
      </c>
      <c r="AH12" s="1">
        <v>0</v>
      </c>
      <c r="AI12" s="1">
        <f>VLOOKUP($A12,'CAPEX - Manutenção_PPD'!$A$3:$K$22,11,FALSE)+VLOOKUP($A12,'CAPEX - Manutenção_PTR_Taxiway'!$A$3:$K$22,11,FALSE)+VLOOKUP($A12,'CAPEX - Manutenção_Pátio'!$A$3:$K$22,11,FALSE)+VLOOKUP($A12,'CAPEX - Manut._Desemborracham.'!$A$3:$P$54,16,FALSE)</f>
        <v>310228.60839848552</v>
      </c>
      <c r="AJ12" s="1">
        <v>0</v>
      </c>
      <c r="AK12" s="1">
        <f>VLOOKUP($A12,'CAPEX - Manut._Desemborracham.'!$A$3:$Q$54,17,FALSE)</f>
        <v>90929.208398485542</v>
      </c>
      <c r="AL12" s="1">
        <v>0</v>
      </c>
      <c r="AM12" s="1">
        <f t="shared" si="0"/>
        <v>49864928.275977269</v>
      </c>
      <c r="AN12" s="3">
        <v>2</v>
      </c>
      <c r="AO12" s="3" t="s">
        <v>97</v>
      </c>
      <c r="AP12" s="3" t="s">
        <v>97</v>
      </c>
      <c r="AQ12" s="3">
        <v>2025</v>
      </c>
      <c r="AR12" s="3" t="s">
        <v>97</v>
      </c>
      <c r="AS12" s="3" t="s">
        <v>97</v>
      </c>
      <c r="AT12" s="3">
        <v>3</v>
      </c>
      <c r="AU12" t="s">
        <v>127</v>
      </c>
      <c r="AV12" s="3">
        <f>VLOOKUP(A12,'BASE PAN - CAPEX'!$A$3:$H$22,8,FALSE)</f>
        <v>3</v>
      </c>
    </row>
    <row r="13" spans="1:48" x14ac:dyDescent="0.25">
      <c r="A13" t="s">
        <v>76</v>
      </c>
      <c r="B13" t="s">
        <v>77</v>
      </c>
      <c r="C13" t="s">
        <v>78</v>
      </c>
      <c r="D13" t="s">
        <v>77</v>
      </c>
      <c r="E13" t="s">
        <v>27</v>
      </c>
      <c r="F13" t="s">
        <v>28</v>
      </c>
      <c r="G13" t="s">
        <v>29</v>
      </c>
      <c r="H13" s="1">
        <f>((VLOOKUP($A13,'BASE PAN - CAPEX'!$A$3:$I$22,9,FALSE)/3)*$C$24)+VLOOKUP($A13,'CAPEX - Manutenção_PPD'!$A$3:$C$22,3,FALSE)+VLOOKUP($A13,'CAPEX - Manutenção_PTR_Taxiway'!$A$3:$C$22,3,FALSE)+VLOOKUP($A13,'CAPEX - Manutenção_Pátio'!$A$3:$C$22,3,FALSE)+VLOOKUP($A13,'CAPEX - Navegação Aérea'!$A$3:$H$22,8,FALSE)</f>
        <v>8418666.6666666679</v>
      </c>
      <c r="I13" s="1">
        <f>((VLOOKUP($A13,'BASE PAN - CAPEX'!$A$3:$I$22,9,FALSE)/3)*$C$24)+VLOOKUP($A13,'CAPEX - Manut._Desemborracham.'!$A$3:$C$54,3,FALSE)</f>
        <v>8492719.6030478347</v>
      </c>
      <c r="J13" s="1">
        <f>(VLOOKUP($A13,'BASE PAN - CAPEX'!$A$3:$I$22,9,FALSE)/3)*$C$24</f>
        <v>8418666.6666666679</v>
      </c>
      <c r="K13" s="1">
        <f>VLOOKUP($A13,'CAPEX - Manut._Desemborracham.'!$A$3:$D$54,4,FALSE)</f>
        <v>74052.93638116763</v>
      </c>
      <c r="L13" s="1">
        <f>VLOOKUP($A13,'CAPEX - Manutenção_PPD'!$A$3:$D$22,4,FALSE)+VLOOKUP($A13,'CAPEX - Manutenção_PTR_Taxiway'!$A$3:$D$22,4,FALSE)+VLOOKUP($A13,'CAPEX - Manutenção_Pátio'!$A$3:$D$22,4,FALSE)</f>
        <v>209849.61000000002</v>
      </c>
      <c r="M13" s="1">
        <f>VLOOKUP($A13,'CAPEX - Manut._Desemborracham.'!$A$3:$E$54,5,FALSE)</f>
        <v>74052.93638116763</v>
      </c>
      <c r="N13" s="1">
        <v>0</v>
      </c>
      <c r="O13" s="1">
        <f>VLOOKUP($A13,'CAPEX - Manutenção_PPD'!$A$3:$E$22,5,FALSE)+VLOOKUP($A13,'CAPEX - Manutenção_PTR_Taxiway'!$A$3:$E$22,5,FALSE)+VLOOKUP($A13,'CAPEX - Manutenção_Pátio'!$A$3:$E$22,5,FALSE)+VLOOKUP($A13,'CAPEX - Manut._Desemborracham.'!$A$3:$F$54,6,FALSE)</f>
        <v>283902.54638116766</v>
      </c>
      <c r="P13" s="1">
        <v>0</v>
      </c>
      <c r="Q13" s="1">
        <f>VLOOKUP($A13,'CAPEX - Manutenção_PPD'!$A$3:$F$22,6,FALSE)+VLOOKUP($A13,'CAPEX - Manutenção_PTR_Taxiway'!$A$3:$F$22,6,FALSE)+VLOOKUP($A13,'CAPEX - Manutenção_Pátio'!$A$3:$F$22,6,FALSE)+VLOOKUP($A13,'CAPEX - Manut._Desemborracham.'!$A$3:$G$54,7,FALSE)</f>
        <v>10434355.616381165</v>
      </c>
      <c r="R13" s="1">
        <v>0</v>
      </c>
      <c r="S13" s="1">
        <f>VLOOKUP($A13,'CAPEX - Manut._Desemborracham.'!$A$3:$H$54,8,FALSE)</f>
        <v>74052.93638116763</v>
      </c>
      <c r="T13" s="1">
        <v>0</v>
      </c>
      <c r="U13" s="1">
        <f>VLOOKUP($A13,'CAPEX - Manut._Desemborracham.'!$A$3:$I$54,9,FALSE)</f>
        <v>74052.93638116763</v>
      </c>
      <c r="V13" s="1">
        <f>VLOOKUP($A13,'CAPEX - Manutenção_PPD'!$A$3:$G$22,7,FALSE)+VLOOKUP($A13,'CAPEX - Manutenção_PTR_Taxiway'!$A$3:$G$22,7,FALSE)+VLOOKUP($A13,'CAPEX - Manutenção_Pátio'!$A$3:$G$22,7,FALSE)</f>
        <v>7394235.2199999997</v>
      </c>
      <c r="W13" s="1">
        <f>VLOOKUP($A13,'CAPEX - Manut._Desemborracham.'!$A$3:$J$54,10,FALSE)</f>
        <v>74052.93638116763</v>
      </c>
      <c r="X13" s="1">
        <v>0</v>
      </c>
      <c r="Y13" s="1">
        <f>VLOOKUP($A13,'CAPEX - Manutenção_PPD'!$A$3:$H$22,8,FALSE)+VLOOKUP($A13,'CAPEX - Manutenção_PTR_Taxiway'!$A$3:$H$22,8,FALSE)+VLOOKUP($A13,'CAPEX - Manutenção_Pátio'!$A$3:$H$22,8,FALSE)+VLOOKUP($A13,'CAPEX - Manut._Desemborracham.'!$A$3:$K$54,11,FALSE)</f>
        <v>283902.54638116766</v>
      </c>
      <c r="Z13" s="1">
        <v>0</v>
      </c>
      <c r="AA13" s="1">
        <f>VLOOKUP($A13,'CAPEX - Manutenção_PPD'!$A$3:$I$22,9,FALSE)+VLOOKUP($A13,'CAPEX - Manutenção_PTR_Taxiway'!$A$3:$I$22,9,FALSE)+VLOOKUP($A13,'CAPEX - Manutenção_Pátio'!$A$3:$I$22,9,FALSE)+VLOOKUP($A13,'CAPEX - Manut._Desemborracham.'!$A$3:$L$54,12,FALSE)</f>
        <v>10434355.616381165</v>
      </c>
      <c r="AB13" s="1">
        <v>0</v>
      </c>
      <c r="AC13" s="1">
        <f>VLOOKUP($A13,'CAPEX - Manut._Desemborracham.'!$A$3:$M$54,13,FALSE)</f>
        <v>74052.93638116763</v>
      </c>
      <c r="AD13" s="1">
        <v>0</v>
      </c>
      <c r="AE13" s="1">
        <f>VLOOKUP($A13,'CAPEX - Manut._Desemborracham.'!$A$3:$N$54,14,FALSE)</f>
        <v>74052.93638116763</v>
      </c>
      <c r="AF13" s="1">
        <f>VLOOKUP($A13,'CAPEX - Manutenção_PPD'!$A$3:$J$22,10,FALSE)+VLOOKUP($A13,'CAPEX - Manutenção_PTR_Taxiway'!$A$3:$J$22,10,FALSE)+VLOOKUP($A13,'CAPEX - Manutenção_Pátio'!$A$3:$J$22,10,FALSE)</f>
        <v>209849.61000000002</v>
      </c>
      <c r="AG13" s="1">
        <f>VLOOKUP($A13,'CAPEX - Manut._Desemborracham.'!$A$3:$O$54,15,FALSE)</f>
        <v>74052.93638116763</v>
      </c>
      <c r="AH13" s="1">
        <v>0</v>
      </c>
      <c r="AI13" s="1">
        <f>VLOOKUP($A13,'CAPEX - Manutenção_PPD'!$A$3:$K$22,11,FALSE)+VLOOKUP($A13,'CAPEX - Manutenção_PTR_Taxiway'!$A$3:$K$22,11,FALSE)+VLOOKUP($A13,'CAPEX - Manutenção_Pátio'!$A$3:$K$22,11,FALSE)+VLOOKUP($A13,'CAPEX - Manut._Desemborracham.'!$A$3:$P$54,16,FALSE)</f>
        <v>283902.54638116766</v>
      </c>
      <c r="AJ13" s="1">
        <v>0</v>
      </c>
      <c r="AK13" s="1">
        <f>VLOOKUP($A13,'CAPEX - Manut._Desemborracham.'!$A$3:$Q$54,17,FALSE)</f>
        <v>74052.93638116763</v>
      </c>
      <c r="AL13" s="1">
        <v>0</v>
      </c>
      <c r="AM13" s="1">
        <f t="shared" si="0"/>
        <v>55530882.675717525</v>
      </c>
      <c r="AN13" s="3">
        <v>1</v>
      </c>
      <c r="AO13" s="3" t="s">
        <v>97</v>
      </c>
      <c r="AP13" s="3">
        <v>2038</v>
      </c>
      <c r="AQ13" s="3">
        <v>2024</v>
      </c>
      <c r="AR13" s="3" t="s">
        <v>97</v>
      </c>
      <c r="AS13" s="3">
        <v>3</v>
      </c>
      <c r="AT13" s="3">
        <v>2</v>
      </c>
      <c r="AU13" t="s">
        <v>151</v>
      </c>
      <c r="AV13" s="3">
        <f>VLOOKUP(A13,'BASE PAN - CAPEX'!$A$3:$H$22,8,FALSE)</f>
        <v>3</v>
      </c>
    </row>
    <row r="14" spans="1:48" x14ac:dyDescent="0.25">
      <c r="A14" t="s">
        <v>80</v>
      </c>
      <c r="B14" t="s">
        <v>81</v>
      </c>
      <c r="C14" t="s">
        <v>82</v>
      </c>
      <c r="D14" t="s">
        <v>83</v>
      </c>
      <c r="E14" t="s">
        <v>33</v>
      </c>
      <c r="F14" t="s">
        <v>28</v>
      </c>
      <c r="G14" t="s">
        <v>29</v>
      </c>
      <c r="H14" s="1">
        <f>((VLOOKUP($A14,'BASE PAN - CAPEX'!$A$3:$I$22,9,FALSE)/3)*$C$24)+VLOOKUP($A14,'CAPEX - Manutenção_PPD'!$A$3:$C$22,3,FALSE)+VLOOKUP($A14,'CAPEX - Manutenção_PTR_Taxiway'!$A$3:$C$22,3,FALSE)+VLOOKUP($A14,'CAPEX - Manutenção_Pátio'!$A$3:$C$22,3,FALSE)+VLOOKUP($A14,'CAPEX - Navegação Aérea'!$A$3:$H$22,8,FALSE)</f>
        <v>9592000</v>
      </c>
      <c r="I14" s="1">
        <f>((VLOOKUP($A14,'BASE PAN - CAPEX'!$A$3:$I$22,9,FALSE)/3)*$C$24)+VLOOKUP($A14,'CAPEX - Manut._Desemborracham.'!$A$3:$C$54,3,FALSE)</f>
        <v>9592000</v>
      </c>
      <c r="J14" s="1">
        <f>(VLOOKUP($A14,'BASE PAN - CAPEX'!$A$3:$I$22,9,FALSE)/3)*$C$24</f>
        <v>9592000</v>
      </c>
      <c r="K14" s="1">
        <f>VLOOKUP($A14,'CAPEX - Manut._Desemborracham.'!$A$3:$D$54,4,FALSE)</f>
        <v>0</v>
      </c>
      <c r="L14" s="1">
        <f>VLOOKUP($A14,'CAPEX - Manutenção_PPD'!$A$3:$D$22,4,FALSE)+VLOOKUP($A14,'CAPEX - Manutenção_PTR_Taxiway'!$A$3:$D$22,4,FALSE)+VLOOKUP($A14,'CAPEX - Manutenção_Pátio'!$A$3:$D$22,4,FALSE)</f>
        <v>176280.99</v>
      </c>
      <c r="M14" s="1">
        <f>VLOOKUP($A14,'CAPEX - Manut._Desemborracham.'!$A$3:$E$54,5,FALSE)</f>
        <v>0</v>
      </c>
      <c r="N14" s="1">
        <v>0</v>
      </c>
      <c r="O14" s="1">
        <f>VLOOKUP($A14,'CAPEX - Manutenção_PPD'!$A$3:$E$22,5,FALSE)+VLOOKUP($A14,'CAPEX - Manutenção_PTR_Taxiway'!$A$3:$E$22,5,FALSE)+VLOOKUP($A14,'CAPEX - Manutenção_Pátio'!$A$3:$E$22,5,FALSE)+VLOOKUP($A14,'CAPEX - Manut._Desemborracham.'!$A$3:$F$54,6,FALSE)</f>
        <v>176280.99</v>
      </c>
      <c r="P14" s="1">
        <v>0</v>
      </c>
      <c r="Q14" s="1">
        <f>VLOOKUP($A14,'CAPEX - Manutenção_PPD'!$A$3:$F$22,6,FALSE)+VLOOKUP($A14,'CAPEX - Manutenção_PTR_Taxiway'!$A$3:$F$22,6,FALSE)+VLOOKUP($A14,'CAPEX - Manutenção_Pátio'!$A$3:$F$22,6,FALSE)+VLOOKUP($A14,'CAPEX - Manut._Desemborracham.'!$A$3:$G$54,7,FALSE)</f>
        <v>9253990.910000002</v>
      </c>
      <c r="R14" s="1">
        <v>0</v>
      </c>
      <c r="S14" s="1">
        <f>VLOOKUP($A14,'CAPEX - Manut._Desemborracham.'!$A$3:$H$54,8,FALSE)</f>
        <v>0</v>
      </c>
      <c r="T14" s="1">
        <v>0</v>
      </c>
      <c r="U14" s="1">
        <f>VLOOKUP($A14,'CAPEX - Manut._Desemborracham.'!$A$3:$I$54,9,FALSE)</f>
        <v>0</v>
      </c>
      <c r="V14" s="1">
        <f>VLOOKUP($A14,'CAPEX - Manutenção_PPD'!$A$3:$G$22,7,FALSE)+VLOOKUP($A14,'CAPEX - Manutenção_PTR_Taxiway'!$A$3:$G$22,7,FALSE)+VLOOKUP($A14,'CAPEX - Manutenção_Pátio'!$A$3:$G$22,7,FALSE)</f>
        <v>7369668.2600000007</v>
      </c>
      <c r="W14" s="1">
        <f>VLOOKUP($A14,'CAPEX - Manut._Desemborracham.'!$A$3:$J$54,10,FALSE)</f>
        <v>0</v>
      </c>
      <c r="X14" s="1">
        <v>0</v>
      </c>
      <c r="Y14" s="1">
        <f>VLOOKUP($A14,'CAPEX - Manutenção_PPD'!$A$3:$H$22,8,FALSE)+VLOOKUP($A14,'CAPEX - Manutenção_PTR_Taxiway'!$A$3:$H$22,8,FALSE)+VLOOKUP($A14,'CAPEX - Manutenção_Pátio'!$A$3:$H$22,8,FALSE)+VLOOKUP($A14,'CAPEX - Manut._Desemborracham.'!$A$3:$K$54,11,FALSE)</f>
        <v>176280.99</v>
      </c>
      <c r="Z14" s="1">
        <v>0</v>
      </c>
      <c r="AA14" s="1">
        <f>VLOOKUP($A14,'CAPEX - Manutenção_PPD'!$A$3:$I$22,9,FALSE)+VLOOKUP($A14,'CAPEX - Manutenção_PTR_Taxiway'!$A$3:$I$22,9,FALSE)+VLOOKUP($A14,'CAPEX - Manutenção_Pátio'!$A$3:$I$22,9,FALSE)+VLOOKUP($A14,'CAPEX - Manut._Desemborracham.'!$A$3:$L$54,12,FALSE)</f>
        <v>9253990.910000002</v>
      </c>
      <c r="AB14" s="1">
        <v>0</v>
      </c>
      <c r="AC14" s="1">
        <f>VLOOKUP($A14,'CAPEX - Manut._Desemborracham.'!$A$3:$M$54,13,FALSE)</f>
        <v>0</v>
      </c>
      <c r="AD14" s="1">
        <v>0</v>
      </c>
      <c r="AE14" s="1">
        <f>VLOOKUP($A14,'CAPEX - Manut._Desemborracham.'!$A$3:$N$54,14,FALSE)</f>
        <v>0</v>
      </c>
      <c r="AF14" s="1">
        <f>VLOOKUP($A14,'CAPEX - Manutenção_PPD'!$A$3:$J$22,10,FALSE)+VLOOKUP($A14,'CAPEX - Manutenção_PTR_Taxiway'!$A$3:$J$22,10,FALSE)+VLOOKUP($A14,'CAPEX - Manutenção_Pátio'!$A$3:$J$22,10,FALSE)</f>
        <v>176280.99</v>
      </c>
      <c r="AG14" s="1">
        <f>VLOOKUP($A14,'CAPEX - Manut._Desemborracham.'!$A$3:$O$54,15,FALSE)</f>
        <v>0</v>
      </c>
      <c r="AH14" s="1">
        <v>0</v>
      </c>
      <c r="AI14" s="1">
        <f>VLOOKUP($A14,'CAPEX - Manutenção_PPD'!$A$3:$K$22,11,FALSE)+VLOOKUP($A14,'CAPEX - Manutenção_PTR_Taxiway'!$A$3:$K$22,11,FALSE)+VLOOKUP($A14,'CAPEX - Manutenção_Pátio'!$A$3:$K$22,11,FALSE)+VLOOKUP($A14,'CAPEX - Manut._Desemborracham.'!$A$3:$P$54,16,FALSE)</f>
        <v>176280.99</v>
      </c>
      <c r="AJ14" s="1">
        <v>0</v>
      </c>
      <c r="AK14" s="1">
        <f>VLOOKUP($A14,'CAPEX - Manut._Desemborracham.'!$A$3:$Q$54,17,FALSE)</f>
        <v>0</v>
      </c>
      <c r="AL14" s="1">
        <v>0</v>
      </c>
      <c r="AM14" s="1">
        <f t="shared" si="0"/>
        <v>55535055.030000009</v>
      </c>
      <c r="AN14" s="3">
        <v>1</v>
      </c>
      <c r="AO14" s="3" t="s">
        <v>97</v>
      </c>
      <c r="AP14" s="3" t="s">
        <v>97</v>
      </c>
      <c r="AQ14" s="3">
        <v>2029</v>
      </c>
      <c r="AR14" s="3" t="s">
        <v>97</v>
      </c>
      <c r="AS14" s="3" t="s">
        <v>97</v>
      </c>
      <c r="AT14" s="3">
        <v>2</v>
      </c>
      <c r="AU14" t="s">
        <v>151</v>
      </c>
      <c r="AV14" s="3">
        <f>VLOOKUP(A14,'BASE PAN - CAPEX'!$A$3:$H$22,8,FALSE)</f>
        <v>2</v>
      </c>
    </row>
    <row r="15" spans="1:48" x14ac:dyDescent="0.25">
      <c r="A15" t="s">
        <v>85</v>
      </c>
      <c r="B15" t="s">
        <v>86</v>
      </c>
      <c r="C15" t="s">
        <v>87</v>
      </c>
      <c r="D15" t="s">
        <v>86</v>
      </c>
      <c r="E15" t="s">
        <v>30</v>
      </c>
      <c r="F15" t="s">
        <v>28</v>
      </c>
      <c r="G15" t="s">
        <v>29</v>
      </c>
      <c r="H15" s="1">
        <f>((VLOOKUP($A15,'BASE PAN - CAPEX'!$A$3:$I$22,9,FALSE)/3)*$C$25)+VLOOKUP($A15,'CAPEX - Manutenção_PPD'!$A$3:$C$22,3,FALSE)+VLOOKUP($A15,'CAPEX - Manutenção_PTR_Taxiway'!$A$3:$C$22,3,FALSE)+VLOOKUP($A15,'CAPEX - Manutenção_Pátio'!$A$3:$C$22,3,FALSE)+VLOOKUP($A15,'CAPEX - Navegação Aérea'!$A$3:$H$22,8,FALSE)</f>
        <v>25343000</v>
      </c>
      <c r="I15" s="1">
        <f>((VLOOKUP($A15,'BASE PAN - CAPEX'!$A$3:$I$22,9,FALSE)/3)*$C$25)+VLOOKUP($A15,'CAPEX - Manut._Desemborracham.'!$A$3:$C$54,3,FALSE)</f>
        <v>24565050.257266611</v>
      </c>
      <c r="J15" s="1">
        <f>(VLOOKUP($A15,'BASE PAN - CAPEX'!$A$3:$I$22,9,FALSE)/3)*$C$25</f>
        <v>24468000</v>
      </c>
      <c r="K15" s="1">
        <f>VLOOKUP($A15,'CAPEX - Manut._Desemborracham.'!$A$3:$D$54,4,FALSE)</f>
        <v>97050.257266612709</v>
      </c>
      <c r="L15" s="1">
        <f>VLOOKUP($A15,'CAPEX - Manutenção_PPD'!$A$3:$D$22,4,FALSE)+VLOOKUP($A15,'CAPEX - Manutenção_PTR_Taxiway'!$A$3:$D$22,4,FALSE)+VLOOKUP($A15,'CAPEX - Manutenção_Pátio'!$A$3:$D$22,4,FALSE)</f>
        <v>221148.2</v>
      </c>
      <c r="M15" s="1">
        <f>VLOOKUP($A15,'CAPEX - Manut._Desemborracham.'!$A$3:$E$54,5,FALSE)</f>
        <v>97050.257266612709</v>
      </c>
      <c r="N15" s="1">
        <v>0</v>
      </c>
      <c r="O15" s="1">
        <f>VLOOKUP($A15,'CAPEX - Manutenção_PPD'!$A$3:$E$22,5,FALSE)+VLOOKUP($A15,'CAPEX - Manutenção_PTR_Taxiway'!$A$3:$E$22,5,FALSE)+VLOOKUP($A15,'CAPEX - Manutenção_Pátio'!$A$3:$E$22,5,FALSE)+VLOOKUP($A15,'CAPEX - Manut._Desemborracham.'!$A$3:$F$54,6,FALSE)</f>
        <v>318198.45726661274</v>
      </c>
      <c r="P15" s="1">
        <v>0</v>
      </c>
      <c r="Q15" s="1">
        <f>VLOOKUP($A15,'CAPEX - Manutenção_PPD'!$A$3:$F$22,6,FALSE)+VLOOKUP($A15,'CAPEX - Manutenção_PTR_Taxiway'!$A$3:$F$22,6,FALSE)+VLOOKUP($A15,'CAPEX - Manutenção_Pátio'!$A$3:$F$22,6,FALSE)+VLOOKUP($A15,'CAPEX - Manut._Desemborracham.'!$A$3:$G$54,7,FALSE)</f>
        <v>9084197.3172666114</v>
      </c>
      <c r="R15" s="1">
        <v>0</v>
      </c>
      <c r="S15" s="1">
        <f>VLOOKUP($A15,'CAPEX - Manut._Desemborracham.'!$A$3:$H$54,8,FALSE)</f>
        <v>97050.257266612709</v>
      </c>
      <c r="T15" s="1">
        <v>0</v>
      </c>
      <c r="U15" s="1">
        <f>VLOOKUP($A15,'CAPEX - Manut._Desemborracham.'!$A$3:$I$54,9,FALSE)</f>
        <v>97050.257266612709</v>
      </c>
      <c r="V15" s="1">
        <f>VLOOKUP($A15,'CAPEX - Manutenção_PPD'!$A$3:$G$22,7,FALSE)+VLOOKUP($A15,'CAPEX - Manutenção_PTR_Taxiway'!$A$3:$G$22,7,FALSE)+VLOOKUP($A15,'CAPEX - Manutenção_Pátio'!$A$3:$G$22,7,FALSE)</f>
        <v>5407363.2599999998</v>
      </c>
      <c r="W15" s="1">
        <f>VLOOKUP($A15,'CAPEX - Manut._Desemborracham.'!$A$3:$J$54,10,FALSE)</f>
        <v>97050.257266612709</v>
      </c>
      <c r="X15" s="1">
        <v>0</v>
      </c>
      <c r="Y15" s="1">
        <f>VLOOKUP($A15,'CAPEX - Manutenção_PPD'!$A$3:$H$22,8,FALSE)+VLOOKUP($A15,'CAPEX - Manutenção_PTR_Taxiway'!$A$3:$H$22,8,FALSE)+VLOOKUP($A15,'CAPEX - Manutenção_Pátio'!$A$3:$H$22,8,FALSE)+VLOOKUP($A15,'CAPEX - Manut._Desemborracham.'!$A$3:$K$54,11,FALSE)</f>
        <v>318198.45726661274</v>
      </c>
      <c r="Z15" s="1">
        <v>0</v>
      </c>
      <c r="AA15" s="1">
        <f>VLOOKUP($A15,'CAPEX - Manutenção_PPD'!$A$3:$I$22,9,FALSE)+VLOOKUP($A15,'CAPEX - Manutenção_PTR_Taxiway'!$A$3:$I$22,9,FALSE)+VLOOKUP($A15,'CAPEX - Manutenção_Pátio'!$A$3:$I$22,9,FALSE)+VLOOKUP($A15,'CAPEX - Manut._Desemborracham.'!$A$3:$L$54,12,FALSE)</f>
        <v>9084197.3172666114</v>
      </c>
      <c r="AB15" s="1">
        <v>0</v>
      </c>
      <c r="AC15" s="1">
        <f>VLOOKUP($A15,'CAPEX - Manut._Desemborracham.'!$A$3:$M$54,13,FALSE)</f>
        <v>97050.257266612709</v>
      </c>
      <c r="AD15" s="1">
        <v>0</v>
      </c>
      <c r="AE15" s="1">
        <f>VLOOKUP($A15,'CAPEX - Manut._Desemborracham.'!$A$3:$N$54,14,FALSE)</f>
        <v>97050.257266612709</v>
      </c>
      <c r="AF15" s="1">
        <f>VLOOKUP($A15,'CAPEX - Manutenção_PPD'!$A$3:$J$22,10,FALSE)+VLOOKUP($A15,'CAPEX - Manutenção_PTR_Taxiway'!$A$3:$J$22,10,FALSE)+VLOOKUP($A15,'CAPEX - Manutenção_Pátio'!$A$3:$J$22,10,FALSE)</f>
        <v>221148.2</v>
      </c>
      <c r="AG15" s="1">
        <f>VLOOKUP($A15,'CAPEX - Manut._Desemborracham.'!$A$3:$O$54,15,FALSE)</f>
        <v>97050.257266612709</v>
      </c>
      <c r="AH15" s="1">
        <v>0</v>
      </c>
      <c r="AI15" s="1">
        <f>VLOOKUP($A15,'CAPEX - Manutenção_PPD'!$A$3:$K$22,11,FALSE)+VLOOKUP($A15,'CAPEX - Manutenção_PTR_Taxiway'!$A$3:$K$22,11,FALSE)+VLOOKUP($A15,'CAPEX - Manutenção_Pátio'!$A$3:$K$22,11,FALSE)+VLOOKUP($A15,'CAPEX - Manut._Desemborracham.'!$A$3:$P$54,16,FALSE)</f>
        <v>318198.45726661274</v>
      </c>
      <c r="AJ15" s="1">
        <v>0</v>
      </c>
      <c r="AK15" s="1">
        <f>VLOOKUP($A15,'CAPEX - Manut._Desemborracham.'!$A$3:$Q$54,17,FALSE)</f>
        <v>97050.257266612709</v>
      </c>
      <c r="AL15" s="1">
        <v>0</v>
      </c>
      <c r="AM15" s="1">
        <f t="shared" si="0"/>
        <v>100222152.23899919</v>
      </c>
      <c r="AN15" s="3">
        <v>3</v>
      </c>
      <c r="AO15" s="3" t="s">
        <v>97</v>
      </c>
      <c r="AP15" s="3" t="s">
        <v>97</v>
      </c>
      <c r="AQ15" s="3" t="s">
        <v>97</v>
      </c>
      <c r="AR15" s="3" t="s">
        <v>97</v>
      </c>
      <c r="AS15" s="3" t="s">
        <v>97</v>
      </c>
      <c r="AT15" s="3" t="s">
        <v>97</v>
      </c>
      <c r="AU15" t="s">
        <v>127</v>
      </c>
      <c r="AV15" s="3">
        <f>VLOOKUP(A15,'BASE PAN - CAPEX'!$A$3:$H$22,8,FALSE)</f>
        <v>3</v>
      </c>
    </row>
    <row r="16" spans="1:48" x14ac:dyDescent="0.25">
      <c r="A16" t="s">
        <v>130</v>
      </c>
      <c r="B16" t="s">
        <v>131</v>
      </c>
      <c r="C16" t="s">
        <v>136</v>
      </c>
      <c r="D16" t="s">
        <v>131</v>
      </c>
      <c r="E16" t="s">
        <v>26</v>
      </c>
      <c r="F16" t="s">
        <v>28</v>
      </c>
      <c r="G16" t="s">
        <v>29</v>
      </c>
      <c r="H16" s="1">
        <f>((VLOOKUP($A16,'BASE PAN - CAPEX'!$A$3:$I$22,9,FALSE)/3)*$C$24)+VLOOKUP($A16,'CAPEX - Manutenção_PPD'!$A$3:$C$22,3,FALSE)+VLOOKUP($A16,'CAPEX - Manutenção_PTR_Taxiway'!$A$3:$C$22,3,FALSE)+VLOOKUP($A16,'CAPEX - Manutenção_Pátio'!$A$3:$C$22,3,FALSE)+VLOOKUP($A16,'CAPEX - Navegação Aérea'!$A$3:$H$22,8,FALSE)</f>
        <v>12511443.67</v>
      </c>
      <c r="I16" s="1">
        <f>((VLOOKUP($A16,'BASE PAN - CAPEX'!$A$3:$I$22,9,FALSE)/3)*$C$24)+VLOOKUP($A16,'CAPEX - Manut._Desemborracham.'!$A$3:$C$54,3,FALSE)</f>
        <v>11588970.37548645</v>
      </c>
      <c r="J16" s="1">
        <f>(VLOOKUP($A16,'BASE PAN - CAPEX'!$A$3:$I$22,9,FALSE)/3)*$C$24</f>
        <v>11512000</v>
      </c>
      <c r="K16" s="1">
        <f>VLOOKUP($A16,'CAPEX - Manut._Desemborracham.'!$A$3:$D$54,4,FALSE)</f>
        <v>76970.375486450852</v>
      </c>
      <c r="L16" s="1">
        <f>VLOOKUP($A16,'CAPEX - Manutenção_PPD'!$A$3:$D$22,4,FALSE)+VLOOKUP($A16,'CAPEX - Manutenção_PTR_Taxiway'!$A$3:$D$22,4,FALSE)+VLOOKUP($A16,'CAPEX - Manutenção_Pátio'!$A$3:$D$22,4,FALSE)</f>
        <v>206408.15999999997</v>
      </c>
      <c r="M16" s="1">
        <f>VLOOKUP($A16,'CAPEX - Manut._Desemborracham.'!$A$3:$E$54,5,FALSE)</f>
        <v>76970.375486450852</v>
      </c>
      <c r="N16" s="1">
        <v>0</v>
      </c>
      <c r="O16" s="1">
        <f>VLOOKUP($A16,'CAPEX - Manutenção_PPD'!$A$3:$E$22,5,FALSE)+VLOOKUP($A16,'CAPEX - Manutenção_PTR_Taxiway'!$A$3:$E$22,5,FALSE)+VLOOKUP($A16,'CAPEX - Manutenção_Pátio'!$A$3:$E$22,5,FALSE)+VLOOKUP($A16,'CAPEX - Manut._Desemborracham.'!$A$3:$F$54,6,FALSE)</f>
        <v>283378.53548645083</v>
      </c>
      <c r="P16" s="1">
        <v>0</v>
      </c>
      <c r="Q16" s="1">
        <f>VLOOKUP($A16,'CAPEX - Manutenção_PPD'!$A$3:$F$22,6,FALSE)+VLOOKUP($A16,'CAPEX - Manutenção_PTR_Taxiway'!$A$3:$F$22,6,FALSE)+VLOOKUP($A16,'CAPEX - Manutenção_Pátio'!$A$3:$F$22,6,FALSE)+VLOOKUP($A16,'CAPEX - Manut._Desemborracham.'!$A$3:$G$54,7,FALSE)</f>
        <v>7496167.5354864514</v>
      </c>
      <c r="R16" s="1">
        <v>0</v>
      </c>
      <c r="S16" s="1">
        <f>VLOOKUP($A16,'CAPEX - Manut._Desemborracham.'!$A$3:$H$54,8,FALSE)</f>
        <v>76970.375486450852</v>
      </c>
      <c r="T16" s="1">
        <v>0</v>
      </c>
      <c r="U16" s="1">
        <f>VLOOKUP($A16,'CAPEX - Manut._Desemborracham.'!$A$3:$I$54,9,FALSE)</f>
        <v>76970.375486450852</v>
      </c>
      <c r="V16" s="1">
        <f>VLOOKUP($A16,'CAPEX - Manutenção_PPD'!$A$3:$G$22,7,FALSE)+VLOOKUP($A16,'CAPEX - Manutenção_PTR_Taxiway'!$A$3:$G$22,7,FALSE)+VLOOKUP($A16,'CAPEX - Manutenção_Pátio'!$A$3:$G$22,7,FALSE)</f>
        <v>5521344.3999999994</v>
      </c>
      <c r="W16" s="1">
        <f>VLOOKUP($A16,'CAPEX - Manut._Desemborracham.'!$A$3:$J$54,10,FALSE)</f>
        <v>76970.375486450852</v>
      </c>
      <c r="X16" s="1">
        <v>0</v>
      </c>
      <c r="Y16" s="1">
        <f>VLOOKUP($A16,'CAPEX - Manutenção_PPD'!$A$3:$H$22,8,FALSE)+VLOOKUP($A16,'CAPEX - Manutenção_PTR_Taxiway'!$A$3:$H$22,8,FALSE)+VLOOKUP($A16,'CAPEX - Manutenção_Pátio'!$A$3:$H$22,8,FALSE)+VLOOKUP($A16,'CAPEX - Manut._Desemborracham.'!$A$3:$K$54,11,FALSE)</f>
        <v>283378.53548645083</v>
      </c>
      <c r="Z16" s="1">
        <v>0</v>
      </c>
      <c r="AA16" s="1">
        <f>VLOOKUP($A16,'CAPEX - Manutenção_PPD'!$A$3:$I$22,9,FALSE)+VLOOKUP($A16,'CAPEX - Manutenção_PTR_Taxiway'!$A$3:$I$22,9,FALSE)+VLOOKUP($A16,'CAPEX - Manutenção_Pátio'!$A$3:$I$22,9,FALSE)+VLOOKUP($A16,'CAPEX - Manut._Desemborracham.'!$A$3:$L$54,12,FALSE)</f>
        <v>7496167.5354864514</v>
      </c>
      <c r="AB16" s="1">
        <v>0</v>
      </c>
      <c r="AC16" s="1">
        <f>VLOOKUP($A16,'CAPEX - Manut._Desemborracham.'!$A$3:$M$54,13,FALSE)</f>
        <v>76970.375486450852</v>
      </c>
      <c r="AD16" s="1">
        <v>0</v>
      </c>
      <c r="AE16" s="1">
        <f>VLOOKUP($A16,'CAPEX - Manut._Desemborracham.'!$A$3:$N$54,14,FALSE)</f>
        <v>76970.375486450852</v>
      </c>
      <c r="AF16" s="1">
        <f>VLOOKUP($A16,'CAPEX - Manutenção_PPD'!$A$3:$J$22,10,FALSE)+VLOOKUP($A16,'CAPEX - Manutenção_PTR_Taxiway'!$A$3:$J$22,10,FALSE)+VLOOKUP($A16,'CAPEX - Manutenção_Pátio'!$A$3:$J$22,10,FALSE)</f>
        <v>206408.15999999997</v>
      </c>
      <c r="AG16" s="1">
        <f>VLOOKUP($A16,'CAPEX - Manut._Desemborracham.'!$A$3:$O$54,15,FALSE)</f>
        <v>76970.375486450852</v>
      </c>
      <c r="AH16" s="1">
        <v>0</v>
      </c>
      <c r="AI16" s="1">
        <f>VLOOKUP($A16,'CAPEX - Manutenção_PPD'!$A$3:$K$22,11,FALSE)+VLOOKUP($A16,'CAPEX - Manutenção_PTR_Taxiway'!$A$3:$K$22,11,FALSE)+VLOOKUP($A16,'CAPEX - Manutenção_Pátio'!$A$3:$K$22,11,FALSE)+VLOOKUP($A16,'CAPEX - Manut._Desemborracham.'!$A$3:$P$54,16,FALSE)</f>
        <v>283378.53548645083</v>
      </c>
      <c r="AJ16" s="1">
        <v>0</v>
      </c>
      <c r="AK16" s="1">
        <f>VLOOKUP($A16,'CAPEX - Manut._Desemborracham.'!$A$3:$Q$54,17,FALSE)</f>
        <v>76970.375486450852</v>
      </c>
      <c r="AL16" s="1">
        <v>0</v>
      </c>
      <c r="AM16" s="1">
        <f t="shared" si="0"/>
        <v>58081778.822296739</v>
      </c>
      <c r="AN16" s="3">
        <v>3</v>
      </c>
      <c r="AO16" s="3" t="s">
        <v>97</v>
      </c>
      <c r="AP16" s="3" t="s">
        <v>97</v>
      </c>
      <c r="AQ16" s="3" t="s">
        <v>97</v>
      </c>
      <c r="AR16" s="3" t="s">
        <v>97</v>
      </c>
      <c r="AS16" s="3" t="s">
        <v>97</v>
      </c>
      <c r="AT16" s="3" t="s">
        <v>97</v>
      </c>
      <c r="AU16" t="s">
        <v>151</v>
      </c>
      <c r="AV16" s="3">
        <f>VLOOKUP(A16,'BASE PAN - CAPEX'!$A$3:$H$22,8,FALSE)</f>
        <v>3</v>
      </c>
    </row>
    <row r="17" spans="1:48" x14ac:dyDescent="0.25">
      <c r="A17" t="s">
        <v>91</v>
      </c>
      <c r="B17" s="4" t="s">
        <v>132</v>
      </c>
      <c r="C17" t="s">
        <v>137</v>
      </c>
      <c r="D17" t="str">
        <f>VLOOKUP(A17,'BASE PAN - CAPEX'!$A$3:$D$22,4,FALSE)</f>
        <v>Porto Alegre do Norte</v>
      </c>
      <c r="E17" t="s">
        <v>32</v>
      </c>
      <c r="F17" t="s">
        <v>28</v>
      </c>
      <c r="G17" t="s">
        <v>29</v>
      </c>
      <c r="H17" s="1">
        <f>((VLOOKUP($A17,'BASE PAN - CAPEX'!$A$3:$I$22,9,FALSE)/3)*$C$24)+VLOOKUP($A17,'CAPEX - Manutenção_PPD'!$A$3:$C$22,3,FALSE)+VLOOKUP($A17,'CAPEX - Manutenção_PTR_Taxiway'!$A$3:$C$22,3,FALSE)+VLOOKUP($A17,'CAPEX - Manutenção_Pátio'!$A$3:$C$22,3,FALSE)+VLOOKUP($A17,'CAPEX - Navegação Aérea'!$A$3:$H$22,8,FALSE)</f>
        <v>8907610.7100000009</v>
      </c>
      <c r="I17" s="1">
        <f>((VLOOKUP($A17,'BASE PAN - CAPEX'!$A$3:$I$22,9,FALSE)/3)*$C$24)+VLOOKUP($A17,'CAPEX - Manut._Desemborracham.'!$A$3:$C$54,3,FALSE)</f>
        <v>3280000</v>
      </c>
      <c r="J17" s="1">
        <f>(VLOOKUP($A17,'BASE PAN - CAPEX'!$A$3:$I$22,9,FALSE)/3)*$C$24</f>
        <v>3280000</v>
      </c>
      <c r="K17" s="1">
        <f>VLOOKUP($A17,'CAPEX - Manut._Desemborracham.'!$A$3:$D$54,4,FALSE)</f>
        <v>0</v>
      </c>
      <c r="L17" s="1">
        <f>VLOOKUP($A17,'CAPEX - Manutenção_PPD'!$A$3:$D$22,4,FALSE)+VLOOKUP($A17,'CAPEX - Manutenção_PTR_Taxiway'!$A$3:$D$22,4,FALSE)+VLOOKUP($A17,'CAPEX - Manutenção_Pátio'!$A$3:$D$22,4,FALSE)</f>
        <v>81241.56</v>
      </c>
      <c r="M17" s="1">
        <f>VLOOKUP($A17,'CAPEX - Manut._Desemborracham.'!$A$3:$E$54,5,FALSE)</f>
        <v>0</v>
      </c>
      <c r="N17" s="1">
        <v>0</v>
      </c>
      <c r="O17" s="1">
        <f>VLOOKUP($A17,'CAPEX - Manutenção_PPD'!$A$3:$E$22,5,FALSE)+VLOOKUP($A17,'CAPEX - Manutenção_PTR_Taxiway'!$A$3:$E$22,5,FALSE)+VLOOKUP($A17,'CAPEX - Manutenção_Pátio'!$A$3:$E$22,5,FALSE)+VLOOKUP($A17,'CAPEX - Manut._Desemborracham.'!$A$3:$F$54,6,FALSE)</f>
        <v>81241.56</v>
      </c>
      <c r="P17" s="1">
        <v>0</v>
      </c>
      <c r="Q17" s="1">
        <f>VLOOKUP($A17,'CAPEX - Manutenção_PPD'!$A$3:$F$22,6,FALSE)+VLOOKUP($A17,'CAPEX - Manutenção_PTR_Taxiway'!$A$3:$F$22,6,FALSE)+VLOOKUP($A17,'CAPEX - Manutenção_Pátio'!$A$3:$F$22,6,FALSE)+VLOOKUP($A17,'CAPEX - Manut._Desemborracham.'!$A$3:$G$54,7,FALSE)</f>
        <v>3749720.46</v>
      </c>
      <c r="R17" s="1">
        <v>0</v>
      </c>
      <c r="S17" s="1">
        <f>VLOOKUP($A17,'CAPEX - Manut._Desemborracham.'!$A$3:$H$54,8,FALSE)</f>
        <v>0</v>
      </c>
      <c r="T17" s="1">
        <v>0</v>
      </c>
      <c r="U17" s="1">
        <f>VLOOKUP($A17,'CAPEX - Manut._Desemborracham.'!$A$3:$I$54,9,FALSE)</f>
        <v>0</v>
      </c>
      <c r="V17" s="1">
        <f>VLOOKUP($A17,'CAPEX - Manutenção_PPD'!$A$3:$G$22,7,FALSE)+VLOOKUP($A17,'CAPEX - Manutenção_PTR_Taxiway'!$A$3:$G$22,7,FALSE)+VLOOKUP($A17,'CAPEX - Manutenção_Pátio'!$A$3:$G$22,7,FALSE)</f>
        <v>1938813.98</v>
      </c>
      <c r="W17" s="1">
        <f>VLOOKUP($A17,'CAPEX - Manut._Desemborracham.'!$A$3:$J$54,10,FALSE)</f>
        <v>0</v>
      </c>
      <c r="X17" s="1">
        <v>0</v>
      </c>
      <c r="Y17" s="1">
        <f>VLOOKUP($A17,'CAPEX - Manutenção_PPD'!$A$3:$H$22,8,FALSE)+VLOOKUP($A17,'CAPEX - Manutenção_PTR_Taxiway'!$A$3:$H$22,8,FALSE)+VLOOKUP($A17,'CAPEX - Manutenção_Pátio'!$A$3:$H$22,8,FALSE)+VLOOKUP($A17,'CAPEX - Manut._Desemborracham.'!$A$3:$K$54,11,FALSE)</f>
        <v>81241.56</v>
      </c>
      <c r="Z17" s="1">
        <v>0</v>
      </c>
      <c r="AA17" s="1">
        <f>VLOOKUP($A17,'CAPEX - Manutenção_PPD'!$A$3:$I$22,9,FALSE)+VLOOKUP($A17,'CAPEX - Manutenção_PTR_Taxiway'!$A$3:$I$22,9,FALSE)+VLOOKUP($A17,'CAPEX - Manutenção_Pátio'!$A$3:$I$22,9,FALSE)+VLOOKUP($A17,'CAPEX - Manut._Desemborracham.'!$A$3:$L$54,12,FALSE)</f>
        <v>3749720.46</v>
      </c>
      <c r="AB17" s="1">
        <v>0</v>
      </c>
      <c r="AC17" s="1">
        <f>VLOOKUP($A17,'CAPEX - Manut._Desemborracham.'!$A$3:$M$54,13,FALSE)</f>
        <v>0</v>
      </c>
      <c r="AD17" s="1">
        <v>0</v>
      </c>
      <c r="AE17" s="1">
        <f>VLOOKUP($A17,'CAPEX - Manut._Desemborracham.'!$A$3:$N$54,14,FALSE)</f>
        <v>0</v>
      </c>
      <c r="AF17" s="1">
        <f>VLOOKUP($A17,'CAPEX - Manutenção_PPD'!$A$3:$J$22,10,FALSE)+VLOOKUP($A17,'CAPEX - Manutenção_PTR_Taxiway'!$A$3:$J$22,10,FALSE)+VLOOKUP($A17,'CAPEX - Manutenção_Pátio'!$A$3:$J$22,10,FALSE)</f>
        <v>81241.56</v>
      </c>
      <c r="AG17" s="1">
        <f>VLOOKUP($A17,'CAPEX - Manut._Desemborracham.'!$A$3:$O$54,15,FALSE)</f>
        <v>0</v>
      </c>
      <c r="AH17" s="1">
        <v>0</v>
      </c>
      <c r="AI17" s="1">
        <f>VLOOKUP($A17,'CAPEX - Manutenção_PPD'!$A$3:$K$22,11,FALSE)+VLOOKUP($A17,'CAPEX - Manutenção_PTR_Taxiway'!$A$3:$K$22,11,FALSE)+VLOOKUP($A17,'CAPEX - Manutenção_Pátio'!$A$3:$K$22,11,FALSE)+VLOOKUP($A17,'CAPEX - Manut._Desemborracham.'!$A$3:$P$54,16,FALSE)</f>
        <v>81241.56</v>
      </c>
      <c r="AJ17" s="1">
        <v>0</v>
      </c>
      <c r="AK17" s="1">
        <f>VLOOKUP($A17,'CAPEX - Manut._Desemborracham.'!$A$3:$Q$54,17,FALSE)</f>
        <v>0</v>
      </c>
      <c r="AL17" s="1">
        <v>0</v>
      </c>
      <c r="AM17" s="1">
        <f t="shared" si="0"/>
        <v>25312073.41</v>
      </c>
      <c r="AN17" s="3">
        <v>0</v>
      </c>
      <c r="AO17" s="3" t="s">
        <v>97</v>
      </c>
      <c r="AP17" s="3" t="s">
        <v>97</v>
      </c>
      <c r="AQ17" s="3" t="s">
        <v>97</v>
      </c>
      <c r="AR17" s="3" t="s">
        <v>97</v>
      </c>
      <c r="AS17" s="3" t="s">
        <v>97</v>
      </c>
      <c r="AT17" s="3" t="s">
        <v>97</v>
      </c>
      <c r="AU17" t="s">
        <v>151</v>
      </c>
      <c r="AV17" s="3">
        <f>VLOOKUP(A17,'BASE PAN - CAPEX'!$A$3:$H$22,8,FALSE)</f>
        <v>0</v>
      </c>
    </row>
    <row r="18" spans="1:48" s="17" customFormat="1" x14ac:dyDescent="0.25">
      <c r="A18" s="17" t="s">
        <v>154</v>
      </c>
      <c r="B18" s="30" t="s">
        <v>155</v>
      </c>
      <c r="C18" s="17" t="s">
        <v>156</v>
      </c>
      <c r="D18" s="17" t="s">
        <v>155</v>
      </c>
      <c r="E18" s="17" t="s">
        <v>31</v>
      </c>
      <c r="F18" s="17" t="s">
        <v>28</v>
      </c>
      <c r="G18" s="17" t="s">
        <v>29</v>
      </c>
      <c r="H18" s="1">
        <f>((VLOOKUP($A18,'BASE PAN - CAPEX'!$A$3:$I$22,9,FALSE)/3)*$C$24)+VLOOKUP($A18,'CAPEX - Manutenção_PPD'!$A$3:$C$22,3,FALSE)+VLOOKUP($A18,'CAPEX - Manutenção_PTR_Taxiway'!$A$3:$C$22,3,FALSE)+VLOOKUP($A18,'CAPEX - Manutenção_Pátio'!$A$3:$C$22,3,FALSE)+VLOOKUP($A18,'CAPEX - Navegação Aérea'!$A$3:$H$22,8,FALSE)</f>
        <v>7031459.1700000009</v>
      </c>
      <c r="I18" s="1">
        <f>((VLOOKUP($A18,'BASE PAN - CAPEX'!$A$3:$I$22,9,FALSE)/3)*$C$24)+VLOOKUP($A18,'CAPEX - Manut._Desemborracham.'!$A$3:$C$54,3,FALSE)</f>
        <v>1344000</v>
      </c>
      <c r="J18" s="1">
        <f>(VLOOKUP($A18,'BASE PAN - CAPEX'!$A$3:$I$22,9,FALSE)/3)*$C$24</f>
        <v>1344000</v>
      </c>
      <c r="K18" s="1">
        <f>VLOOKUP($A18,'CAPEX - Manut._Desemborracham.'!$A$3:$D$54,4,FALSE)</f>
        <v>0</v>
      </c>
      <c r="L18" s="1">
        <f>VLOOKUP($A18,'CAPEX - Manutenção_PPD'!$A$3:$D$22,4,FALSE)+VLOOKUP($A18,'CAPEX - Manutenção_PTR_Taxiway'!$A$3:$D$22,4,FALSE)+VLOOKUP($A18,'CAPEX - Manutenção_Pátio'!$A$3:$D$22,4,FALSE)</f>
        <v>68451.08</v>
      </c>
      <c r="M18" s="1">
        <f>VLOOKUP($A18,'CAPEX - Manut._Desemborracham.'!$A$3:$E$54,5,FALSE)</f>
        <v>0</v>
      </c>
      <c r="N18" s="1">
        <v>0</v>
      </c>
      <c r="O18" s="1">
        <f>VLOOKUP($A18,'CAPEX - Manutenção_PPD'!$A$3:$E$22,5,FALSE)+VLOOKUP($A18,'CAPEX - Manutenção_PTR_Taxiway'!$A$3:$E$22,5,FALSE)+VLOOKUP($A18,'CAPEX - Manutenção_Pátio'!$A$3:$E$22,5,FALSE)+VLOOKUP($A18,'CAPEX - Manut._Desemborracham.'!$A$3:$F$54,6,FALSE)</f>
        <v>68451.08</v>
      </c>
      <c r="P18" s="1">
        <v>0</v>
      </c>
      <c r="Q18" s="1">
        <f>VLOOKUP($A18,'CAPEX - Manutenção_PPD'!$A$3:$F$22,6,FALSE)+VLOOKUP($A18,'CAPEX - Manutenção_PTR_Taxiway'!$A$3:$F$22,6,FALSE)+VLOOKUP($A18,'CAPEX - Manutenção_Pátio'!$A$3:$F$22,6,FALSE)+VLOOKUP($A18,'CAPEX - Manut._Desemborracham.'!$A$3:$G$54,7,FALSE)</f>
        <v>3843938.1199999996</v>
      </c>
      <c r="R18" s="1">
        <v>0</v>
      </c>
      <c r="S18" s="1">
        <f>VLOOKUP($A18,'CAPEX - Manut._Desemborracham.'!$A$3:$H$54,8,FALSE)</f>
        <v>0</v>
      </c>
      <c r="T18" s="1">
        <v>0</v>
      </c>
      <c r="U18" s="1">
        <f>VLOOKUP($A18,'CAPEX - Manut._Desemborracham.'!$A$3:$I$54,9,FALSE)</f>
        <v>0</v>
      </c>
      <c r="V18" s="1">
        <f>VLOOKUP($A18,'CAPEX - Manutenção_PPD'!$A$3:$G$22,7,FALSE)+VLOOKUP($A18,'CAPEX - Manutenção_PTR_Taxiway'!$A$3:$G$22,7,FALSE)+VLOOKUP($A18,'CAPEX - Manutenção_Pátio'!$A$3:$G$22,7,FALSE)</f>
        <v>1911972.13</v>
      </c>
      <c r="W18" s="1">
        <f>VLOOKUP($A18,'CAPEX - Manut._Desemborracham.'!$A$3:$J$54,10,FALSE)</f>
        <v>0</v>
      </c>
      <c r="X18" s="1">
        <v>0</v>
      </c>
      <c r="Y18" s="1">
        <f>VLOOKUP($A18,'CAPEX - Manutenção_PPD'!$A$3:$H$22,8,FALSE)+VLOOKUP($A18,'CAPEX - Manutenção_PTR_Taxiway'!$A$3:$H$22,8,FALSE)+VLOOKUP($A18,'CAPEX - Manutenção_Pátio'!$A$3:$H$22,8,FALSE)+VLOOKUP($A18,'CAPEX - Manut._Desemborracham.'!$A$3:$K$54,11,FALSE)</f>
        <v>68451.08</v>
      </c>
      <c r="Z18" s="1">
        <v>0</v>
      </c>
      <c r="AA18" s="1">
        <f>VLOOKUP($A18,'CAPEX - Manutenção_PPD'!$A$3:$I$22,9,FALSE)+VLOOKUP($A18,'CAPEX - Manutenção_PTR_Taxiway'!$A$3:$I$22,9,FALSE)+VLOOKUP($A18,'CAPEX - Manutenção_Pátio'!$A$3:$I$22,9,FALSE)+VLOOKUP($A18,'CAPEX - Manut._Desemborracham.'!$A$3:$L$54,12,FALSE)</f>
        <v>3843938.1199999996</v>
      </c>
      <c r="AB18" s="1">
        <v>0</v>
      </c>
      <c r="AC18" s="1">
        <f>VLOOKUP($A18,'CAPEX - Manut._Desemborracham.'!$A$3:$M$54,13,FALSE)</f>
        <v>0</v>
      </c>
      <c r="AD18" s="1">
        <v>0</v>
      </c>
      <c r="AE18" s="1">
        <f>VLOOKUP($A18,'CAPEX - Manut._Desemborracham.'!$A$3:$N$54,14,FALSE)</f>
        <v>0</v>
      </c>
      <c r="AF18" s="1">
        <f>VLOOKUP($A18,'CAPEX - Manutenção_PPD'!$A$3:$J$22,10,FALSE)+VLOOKUP($A18,'CAPEX - Manutenção_PTR_Taxiway'!$A$3:$J$22,10,FALSE)+VLOOKUP($A18,'CAPEX - Manutenção_Pátio'!$A$3:$J$22,10,FALSE)</f>
        <v>68451.08</v>
      </c>
      <c r="AG18" s="1">
        <f>VLOOKUP($A18,'CAPEX - Manut._Desemborracham.'!$A$3:$O$54,15,FALSE)</f>
        <v>0</v>
      </c>
      <c r="AH18" s="1">
        <v>0</v>
      </c>
      <c r="AI18" s="1">
        <f>VLOOKUP($A18,'CAPEX - Manutenção_PPD'!$A$3:$K$22,11,FALSE)+VLOOKUP($A18,'CAPEX - Manutenção_PTR_Taxiway'!$A$3:$K$22,11,FALSE)+VLOOKUP($A18,'CAPEX - Manutenção_Pátio'!$A$3:$K$22,11,FALSE)+VLOOKUP($A18,'CAPEX - Manut._Desemborracham.'!$A$3:$P$54,16,FALSE)</f>
        <v>68451.08</v>
      </c>
      <c r="AJ18" s="1">
        <v>0</v>
      </c>
      <c r="AK18" s="1">
        <f>VLOOKUP($A18,'CAPEX - Manut._Desemborracham.'!$A$3:$Q$54,17,FALSE)</f>
        <v>0</v>
      </c>
      <c r="AL18" s="1">
        <v>0</v>
      </c>
      <c r="AM18" s="28">
        <f t="shared" ref="AM18" si="1">SUM(H18:AL18)</f>
        <v>19661562.939999998</v>
      </c>
      <c r="AN18" s="29">
        <v>0</v>
      </c>
      <c r="AO18" s="29" t="s">
        <v>97</v>
      </c>
      <c r="AP18" s="29" t="s">
        <v>97</v>
      </c>
      <c r="AQ18" s="29" t="s">
        <v>97</v>
      </c>
      <c r="AR18" s="29" t="s">
        <v>97</v>
      </c>
      <c r="AS18" s="29" t="s">
        <v>97</v>
      </c>
      <c r="AT18" s="29" t="s">
        <v>97</v>
      </c>
      <c r="AU18" s="17" t="s">
        <v>151</v>
      </c>
      <c r="AV18" s="3">
        <f>VLOOKUP(A18,'BASE PAN - CAPEX'!$A$3:$H$22,8,FALSE)</f>
        <v>0</v>
      </c>
    </row>
    <row r="19" spans="1:48" s="17" customFormat="1" x14ac:dyDescent="0.25">
      <c r="A19" s="17" t="s">
        <v>157</v>
      </c>
      <c r="B19" s="17" t="s">
        <v>158</v>
      </c>
      <c r="C19" s="17" t="s">
        <v>159</v>
      </c>
      <c r="D19" s="17" t="s">
        <v>158</v>
      </c>
      <c r="E19" s="17" t="s">
        <v>31</v>
      </c>
      <c r="F19" s="17" t="s">
        <v>28</v>
      </c>
      <c r="G19" s="17" t="s">
        <v>29</v>
      </c>
      <c r="H19" s="1">
        <f>((VLOOKUP($A19,'BASE PAN - CAPEX'!$A$3:$I$22,9,FALSE)/3)*$C$24)+VLOOKUP($A19,'CAPEX - Manutenção_PPD'!$A$3:$C$22,3,FALSE)+VLOOKUP($A19,'CAPEX - Manutenção_PTR_Taxiway'!$A$3:$C$22,3,FALSE)+VLOOKUP($A19,'CAPEX - Manutenção_Pátio'!$A$3:$C$22,3,FALSE)+VLOOKUP($A19,'CAPEX - Navegação Aérea'!$A$3:$H$22,8,FALSE)</f>
        <v>7663541.0966666667</v>
      </c>
      <c r="I19" s="1">
        <f>((VLOOKUP($A19,'BASE PAN - CAPEX'!$A$3:$I$22,9,FALSE)/3)*$C$24)+VLOOKUP($A19,'CAPEX - Manut._Desemborracham.'!$A$3:$C$54,3,FALSE)</f>
        <v>2146666.666666667</v>
      </c>
      <c r="J19" s="1">
        <f>(VLOOKUP($A19,'BASE PAN - CAPEX'!$A$3:$I$22,9,FALSE)/3)*$C$24</f>
        <v>2146666.666666667</v>
      </c>
      <c r="K19" s="1">
        <f>VLOOKUP($A19,'CAPEX - Manut._Desemborracham.'!$A$3:$D$54,4,FALSE)</f>
        <v>0</v>
      </c>
      <c r="L19" s="1">
        <f>VLOOKUP($A19,'CAPEX - Manutenção_PPD'!$A$3:$D$22,4,FALSE)+VLOOKUP($A19,'CAPEX - Manutenção_PTR_Taxiway'!$A$3:$D$22,4,FALSE)+VLOOKUP($A19,'CAPEX - Manutenção_Pátio'!$A$3:$D$22,4,FALSE)</f>
        <v>62823</v>
      </c>
      <c r="M19" s="1">
        <f>VLOOKUP($A19,'CAPEX - Manut._Desemborracham.'!$A$3:$E$54,5,FALSE)</f>
        <v>0</v>
      </c>
      <c r="N19" s="1">
        <v>0</v>
      </c>
      <c r="O19" s="1">
        <f>VLOOKUP($A19,'CAPEX - Manutenção_PPD'!$A$3:$E$22,5,FALSE)+VLOOKUP($A19,'CAPEX - Manutenção_PTR_Taxiway'!$A$3:$E$22,5,FALSE)+VLOOKUP($A19,'CAPEX - Manutenção_Pátio'!$A$3:$E$22,5,FALSE)+VLOOKUP($A19,'CAPEX - Manut._Desemborracham.'!$A$3:$F$54,6,FALSE)</f>
        <v>62823</v>
      </c>
      <c r="P19" s="1">
        <v>0</v>
      </c>
      <c r="Q19" s="1">
        <f>VLOOKUP($A19,'CAPEX - Manutenção_PPD'!$A$3:$F$22,6,FALSE)+VLOOKUP($A19,'CAPEX - Manutenção_PTR_Taxiway'!$A$3:$F$22,6,FALSE)+VLOOKUP($A19,'CAPEX - Manutenção_Pátio'!$A$3:$F$22,6,FALSE)+VLOOKUP($A19,'CAPEX - Manut._Desemborracham.'!$A$3:$G$54,7,FALSE)</f>
        <v>4085952.31</v>
      </c>
      <c r="R19" s="1">
        <v>0</v>
      </c>
      <c r="S19" s="1">
        <f>VLOOKUP($A19,'CAPEX - Manut._Desemborracham.'!$A$3:$H$54,8,FALSE)</f>
        <v>0</v>
      </c>
      <c r="T19" s="1">
        <v>0</v>
      </c>
      <c r="U19" s="1">
        <f>VLOOKUP($A19,'CAPEX - Manut._Desemborracham.'!$A$3:$I$54,9,FALSE)</f>
        <v>0</v>
      </c>
      <c r="V19" s="1">
        <f>VLOOKUP($A19,'CAPEX - Manutenção_PPD'!$A$3:$G$22,7,FALSE)+VLOOKUP($A19,'CAPEX - Manutenção_PTR_Taxiway'!$A$3:$G$22,7,FALSE)+VLOOKUP($A19,'CAPEX - Manutenção_Pátio'!$A$3:$G$22,7,FALSE)</f>
        <v>1632888.42</v>
      </c>
      <c r="W19" s="1">
        <f>VLOOKUP($A19,'CAPEX - Manut._Desemborracham.'!$A$3:$J$54,10,FALSE)</f>
        <v>0</v>
      </c>
      <c r="X19" s="1">
        <v>0</v>
      </c>
      <c r="Y19" s="1">
        <f>VLOOKUP($A19,'CAPEX - Manutenção_PPD'!$A$3:$H$22,8,FALSE)+VLOOKUP($A19,'CAPEX - Manutenção_PTR_Taxiway'!$A$3:$H$22,8,FALSE)+VLOOKUP($A19,'CAPEX - Manutenção_Pátio'!$A$3:$H$22,8,FALSE)+VLOOKUP($A19,'CAPEX - Manut._Desemborracham.'!$A$3:$K$54,11,FALSE)</f>
        <v>62823</v>
      </c>
      <c r="Z19" s="1">
        <v>0</v>
      </c>
      <c r="AA19" s="1">
        <f>VLOOKUP($A19,'CAPEX - Manutenção_PPD'!$A$3:$I$22,9,FALSE)+VLOOKUP($A19,'CAPEX - Manutenção_PTR_Taxiway'!$A$3:$I$22,9,FALSE)+VLOOKUP($A19,'CAPEX - Manutenção_Pátio'!$A$3:$I$22,9,FALSE)+VLOOKUP($A19,'CAPEX - Manut._Desemborracham.'!$A$3:$L$54,12,FALSE)</f>
        <v>4085952.31</v>
      </c>
      <c r="AB19" s="1">
        <v>0</v>
      </c>
      <c r="AC19" s="1">
        <f>VLOOKUP($A19,'CAPEX - Manut._Desemborracham.'!$A$3:$M$54,13,FALSE)</f>
        <v>0</v>
      </c>
      <c r="AD19" s="1">
        <v>0</v>
      </c>
      <c r="AE19" s="1">
        <f>VLOOKUP($A19,'CAPEX - Manut._Desemborracham.'!$A$3:$N$54,14,FALSE)</f>
        <v>0</v>
      </c>
      <c r="AF19" s="1">
        <f>VLOOKUP($A19,'CAPEX - Manutenção_PPD'!$A$3:$J$22,10,FALSE)+VLOOKUP($A19,'CAPEX - Manutenção_PTR_Taxiway'!$A$3:$J$22,10,FALSE)+VLOOKUP($A19,'CAPEX - Manutenção_Pátio'!$A$3:$J$22,10,FALSE)</f>
        <v>62823</v>
      </c>
      <c r="AG19" s="1">
        <f>VLOOKUP($A19,'CAPEX - Manut._Desemborracham.'!$A$3:$O$54,15,FALSE)</f>
        <v>0</v>
      </c>
      <c r="AH19" s="1">
        <v>0</v>
      </c>
      <c r="AI19" s="1">
        <f>VLOOKUP($A19,'CAPEX - Manutenção_PPD'!$A$3:$K$22,11,FALSE)+VLOOKUP($A19,'CAPEX - Manutenção_PTR_Taxiway'!$A$3:$K$22,11,FALSE)+VLOOKUP($A19,'CAPEX - Manutenção_Pátio'!$A$3:$K$22,11,FALSE)+VLOOKUP($A19,'CAPEX - Manut._Desemborracham.'!$A$3:$P$54,16,FALSE)</f>
        <v>62823</v>
      </c>
      <c r="AJ19" s="1">
        <v>0</v>
      </c>
      <c r="AK19" s="1">
        <f>VLOOKUP($A19,'CAPEX - Manut._Desemborracham.'!$A$3:$Q$54,17,FALSE)</f>
        <v>0</v>
      </c>
      <c r="AL19" s="1">
        <v>0</v>
      </c>
      <c r="AM19" s="28">
        <f>SUM(H19:AL19)</f>
        <v>22075782.469999999</v>
      </c>
      <c r="AN19" s="29">
        <v>0</v>
      </c>
      <c r="AO19" s="29" t="s">
        <v>97</v>
      </c>
      <c r="AP19" s="29" t="s">
        <v>97</v>
      </c>
      <c r="AQ19" s="29" t="s">
        <v>97</v>
      </c>
      <c r="AR19" s="29" t="s">
        <v>97</v>
      </c>
      <c r="AS19" s="29" t="s">
        <v>97</v>
      </c>
      <c r="AT19" s="29" t="s">
        <v>97</v>
      </c>
      <c r="AU19" s="17" t="s">
        <v>151</v>
      </c>
      <c r="AV19" s="3">
        <f>VLOOKUP(A19,'BASE PAN - CAPEX'!$A$3:$H$22,8,FALSE)</f>
        <v>0</v>
      </c>
    </row>
    <row r="20" spans="1:48" s="17" customFormat="1" x14ac:dyDescent="0.25">
      <c r="A20" s="17" t="s">
        <v>317</v>
      </c>
      <c r="B20" s="30" t="str">
        <f>VLOOKUP(A20,'CAPEX - Navegação Aérea'!$A$3:$B$22,2,FALSE)</f>
        <v>COMANDANTE ARISTON PESSOA</v>
      </c>
      <c r="C20" s="17" t="str">
        <f>VLOOKUP(A20,'[10]FLUXO DE CAIXA DESC.-BLOCOS PAN'!$A$3:$D$251,4,FALSE)</f>
        <v>SNAT230110</v>
      </c>
      <c r="D20" s="17" t="s">
        <v>318</v>
      </c>
      <c r="E20" s="17" t="s">
        <v>319</v>
      </c>
      <c r="F20" s="17" t="s">
        <v>28</v>
      </c>
      <c r="G20" s="17" t="s">
        <v>29</v>
      </c>
      <c r="H20" s="28">
        <f>((VLOOKUP($A20,'BASE PAN - CAPEX'!$A$3:$I$22,9,FALSE)/3)*$C$24)+VLOOKUP($A20,'CAPEX - Manutenção_PPD'!$A$3:$C$22,3,FALSE)+VLOOKUP($A20,'CAPEX - Manutenção_PTR_Taxiway'!$A$3:$C$22,3,FALSE)+VLOOKUP($A20,'CAPEX - Manutenção_Pátio'!$A$3:$C$22,3,FALSE)+VLOOKUP($A20,'CAPEX - Navegação Aérea'!$A$3:$H$22,8,FALSE)</f>
        <v>5432000</v>
      </c>
      <c r="I20" s="28">
        <f>((VLOOKUP($A20,'BASE PAN - CAPEX'!$A$3:$I$22,9,FALSE)/3)*$C$24)+VLOOKUP($A20,'CAPEX - Manut._Desemborracham.'!$A$3:$C$54,3,FALSE)</f>
        <v>5492943.0860455493</v>
      </c>
      <c r="J20" s="28">
        <f>(VLOOKUP($A20,'BASE PAN - CAPEX'!$A$3:$I$22,9,FALSE)/3)*$C$24</f>
        <v>5432000</v>
      </c>
      <c r="K20" s="28">
        <f>VLOOKUP($A20,'CAPEX - Manut._Desemborracham.'!$A$3:$D$54,4,FALSE)</f>
        <v>60943.086045549135</v>
      </c>
      <c r="L20" s="28">
        <f>VLOOKUP($A20,'CAPEX - Manutenção_PPD'!$A$3:$D$22,4,FALSE)+VLOOKUP($A20,'CAPEX - Manutenção_PTR_Taxiway'!$A$3:$D$22,4,FALSE)+VLOOKUP($A20,'CAPEX - Manutenção_Pátio'!$A$3:$D$22,4,FALSE)</f>
        <v>242067.46000000002</v>
      </c>
      <c r="M20" s="28">
        <f>VLOOKUP($A20,'CAPEX - Manut._Desemborracham.'!$A$3:$E$54,5,FALSE)</f>
        <v>60943.086045549135</v>
      </c>
      <c r="N20" s="28">
        <v>0</v>
      </c>
      <c r="O20" s="28">
        <f>VLOOKUP($A20,'CAPEX - Manutenção_PPD'!$A$3:$E$22,5,FALSE)+VLOOKUP($A20,'CAPEX - Manutenção_PTR_Taxiway'!$A$3:$E$22,5,FALSE)+VLOOKUP($A20,'CAPEX - Manutenção_Pátio'!$A$3:$E$22,5,FALSE)+VLOOKUP($A20,'CAPEX - Manut._Desemborracham.'!$A$3:$F$54,6,FALSE)</f>
        <v>303010.54604554916</v>
      </c>
      <c r="P20" s="28">
        <v>0</v>
      </c>
      <c r="Q20" s="28">
        <f>VLOOKUP($A20,'CAPEX - Manutenção_PPD'!$A$3:$F$22,6,FALSE)+VLOOKUP($A20,'CAPEX - Manutenção_PTR_Taxiway'!$A$3:$F$22,6,FALSE)+VLOOKUP($A20,'CAPEX - Manutenção_Pátio'!$A$3:$F$22,6,FALSE)+VLOOKUP($A20,'CAPEX - Manut._Desemborracham.'!$A$3:$G$54,7,FALSE)</f>
        <v>8356494.2360455487</v>
      </c>
      <c r="R20" s="28">
        <v>0</v>
      </c>
      <c r="S20" s="28">
        <f>VLOOKUP($A20,'CAPEX - Manut._Desemborracham.'!$A$3:$H$54,8,FALSE)</f>
        <v>60943.086045549135</v>
      </c>
      <c r="T20" s="28">
        <v>0</v>
      </c>
      <c r="U20" s="28">
        <f>VLOOKUP($A20,'CAPEX - Manut._Desemborracham.'!$A$3:$I$54,9,FALSE)</f>
        <v>60943.086045549135</v>
      </c>
      <c r="V20" s="28">
        <f>VLOOKUP($A20,'CAPEX - Manutenção_PPD'!$A$3:$G$22,7,FALSE)+VLOOKUP($A20,'CAPEX - Manutenção_PTR_Taxiway'!$A$3:$G$22,7,FALSE)+VLOOKUP($A20,'CAPEX - Manutenção_Pátio'!$A$3:$G$22,7,FALSE)</f>
        <v>8087636.6100000003</v>
      </c>
      <c r="W20" s="28">
        <f>VLOOKUP($A20,'CAPEX - Manut._Desemborracham.'!$A$3:$J$54,10,FALSE)</f>
        <v>60943.086045549135</v>
      </c>
      <c r="X20" s="28">
        <v>0</v>
      </c>
      <c r="Y20" s="28">
        <f>VLOOKUP($A20,'CAPEX - Manutenção_PPD'!$A$3:$H$22,8,FALSE)+VLOOKUP($A20,'CAPEX - Manutenção_PTR_Taxiway'!$A$3:$H$22,8,FALSE)+VLOOKUP($A20,'CAPEX - Manutenção_Pátio'!$A$3:$H$22,8,FALSE)+VLOOKUP($A20,'CAPEX - Manut._Desemborracham.'!$A$3:$K$54,11,FALSE)</f>
        <v>303010.54604554916</v>
      </c>
      <c r="Z20" s="28">
        <v>0</v>
      </c>
      <c r="AA20" s="28">
        <f>VLOOKUP($A20,'CAPEX - Manutenção_PPD'!$A$3:$I$22,9,FALSE)+VLOOKUP($A20,'CAPEX - Manutenção_PTR_Taxiway'!$A$3:$I$22,9,FALSE)+VLOOKUP($A20,'CAPEX - Manutenção_Pátio'!$A$3:$I$22,9,FALSE)+VLOOKUP($A20,'CAPEX - Manut._Desemborracham.'!$A$3:$L$54,12,FALSE)</f>
        <v>8356494.2360455487</v>
      </c>
      <c r="AB20" s="28">
        <v>0</v>
      </c>
      <c r="AC20" s="28">
        <f>VLOOKUP($A20,'CAPEX - Manut._Desemborracham.'!$A$3:$M$54,13,FALSE)</f>
        <v>60943.086045549135</v>
      </c>
      <c r="AD20" s="28">
        <v>0</v>
      </c>
      <c r="AE20" s="28">
        <f>VLOOKUP($A20,'CAPEX - Manut._Desemborracham.'!$A$3:$N$54,14,FALSE)</f>
        <v>60943.086045549135</v>
      </c>
      <c r="AF20" s="28">
        <f>VLOOKUP($A20,'CAPEX - Manutenção_PPD'!$A$3:$J$22,10,FALSE)+VLOOKUP($A20,'CAPEX - Manutenção_PTR_Taxiway'!$A$3:$J$22,10,FALSE)+VLOOKUP($A20,'CAPEX - Manutenção_Pátio'!$A$3:$J$22,10,FALSE)</f>
        <v>242067.46000000002</v>
      </c>
      <c r="AG20" s="28">
        <f>VLOOKUP($A20,'CAPEX - Manut._Desemborracham.'!$A$3:$O$54,15,FALSE)</f>
        <v>60943.086045549135</v>
      </c>
      <c r="AH20" s="28">
        <v>0</v>
      </c>
      <c r="AI20" s="28">
        <f>VLOOKUP($A20,'CAPEX - Manutenção_PPD'!$A$3:$K$22,11,FALSE)+VLOOKUP($A20,'CAPEX - Manutenção_PTR_Taxiway'!$A$3:$K$22,11,FALSE)+VLOOKUP($A20,'CAPEX - Manutenção_Pátio'!$A$3:$K$22,11,FALSE)+VLOOKUP($A20,'CAPEX - Manut._Desemborracham.'!$A$3:$P$54,16,FALSE)</f>
        <v>303010.54604554916</v>
      </c>
      <c r="AJ20" s="28">
        <v>0</v>
      </c>
      <c r="AK20" s="28">
        <f>VLOOKUP($A20,'CAPEX - Manut._Desemborracham.'!$A$3:$Q$54,17,FALSE)</f>
        <v>60943.086045549135</v>
      </c>
      <c r="AL20" s="28">
        <v>0</v>
      </c>
      <c r="AM20" s="28">
        <f>SUM(H20:AL20)</f>
        <v>43099222.500683226</v>
      </c>
      <c r="AN20" s="29">
        <v>1</v>
      </c>
      <c r="AO20" s="29" t="s">
        <v>97</v>
      </c>
      <c r="AP20" s="29" t="s">
        <v>97</v>
      </c>
      <c r="AQ20" s="29">
        <v>2030</v>
      </c>
      <c r="AR20" s="29" t="s">
        <v>97</v>
      </c>
      <c r="AS20" s="29" t="s">
        <v>97</v>
      </c>
      <c r="AT20" s="29">
        <v>2</v>
      </c>
      <c r="AU20" s="17" t="s">
        <v>151</v>
      </c>
      <c r="AV20" s="3">
        <f>VLOOKUP(A20,'BASE PAN - CAPEX'!$A$3:$H$22,8,FALSE)</f>
        <v>3</v>
      </c>
    </row>
    <row r="21" spans="1:48" s="17" customFormat="1" x14ac:dyDescent="0.25">
      <c r="A21" s="17" t="s">
        <v>321</v>
      </c>
      <c r="B21" s="30" t="str">
        <f>VLOOKUP(A21,'CAPEX - Navegação Aérea'!$A$3:$B$22,2,FALSE)</f>
        <v>AEROPORTO REGIONAL DE CANOA QUEBRADA DRAGÃO DO MAR</v>
      </c>
      <c r="C21" s="17" t="str">
        <f>VLOOKUP(A21,'[10]FLUXO DE CAIXA DESC.-BLOCOS PAN'!$A$3:$D$251,4,FALSE)</f>
        <v>SBJE230425</v>
      </c>
      <c r="D21" s="17" t="s">
        <v>322</v>
      </c>
      <c r="E21" s="17" t="s">
        <v>323</v>
      </c>
      <c r="F21" s="17" t="s">
        <v>28</v>
      </c>
      <c r="G21" s="17" t="s">
        <v>29</v>
      </c>
      <c r="H21" s="28">
        <f>((VLOOKUP($A21,'BASE PAN - CAPEX'!$A$3:$I$22,9,FALSE)/3)*$C$24)+VLOOKUP($A21,'CAPEX - Manutenção_PPD'!$A$3:$C$22,3,FALSE)+VLOOKUP($A21,'CAPEX - Manutenção_PTR_Taxiway'!$A$3:$C$22,3,FALSE)+VLOOKUP($A21,'CAPEX - Manutenção_Pátio'!$A$3:$C$22,3,FALSE)+VLOOKUP($A21,'CAPEX - Navegação Aérea'!$A$3:$H$22,8,FALSE)</f>
        <v>35552879.439999998</v>
      </c>
      <c r="I21" s="28">
        <f>((VLOOKUP($A21,'BASE PAN - CAPEX'!$A$3:$I$22,9,FALSE)/3)*$C$24)+VLOOKUP($A21,'CAPEX - Manut._Desemborracham.'!$A$3:$C$54,3,FALSE)</f>
        <v>9031379.2188046239</v>
      </c>
      <c r="J21" s="28">
        <f>(VLOOKUP($A21,'BASE PAN - CAPEX'!$A$3:$I$22,9,FALSE)/3)*$C$24</f>
        <v>8960000</v>
      </c>
      <c r="K21" s="28">
        <f>VLOOKUP($A21,'CAPEX - Manut._Desemborracham.'!$A$3:$D$54,4,FALSE)</f>
        <v>71379.218804624281</v>
      </c>
      <c r="L21" s="28">
        <f>VLOOKUP($A21,'CAPEX - Manutenção_PPD'!$A$3:$D$22,4,FALSE)+VLOOKUP($A21,'CAPEX - Manutenção_PTR_Taxiway'!$A$3:$D$22,4,FALSE)+VLOOKUP($A21,'CAPEX - Manutenção_Pátio'!$A$3:$D$22,4,FALSE)</f>
        <v>336471.86</v>
      </c>
      <c r="M21" s="28">
        <f>VLOOKUP($A21,'CAPEX - Manut._Desemborracham.'!$A$3:$E$54,5,FALSE)</f>
        <v>71379.218804624281</v>
      </c>
      <c r="N21" s="28">
        <v>0</v>
      </c>
      <c r="O21" s="28">
        <f>VLOOKUP($A21,'CAPEX - Manutenção_PPD'!$A$3:$E$22,5,FALSE)+VLOOKUP($A21,'CAPEX - Manutenção_PTR_Taxiway'!$A$3:$E$22,5,FALSE)+VLOOKUP($A21,'CAPEX - Manutenção_Pátio'!$A$3:$E$22,5,FALSE)+VLOOKUP($A21,'CAPEX - Manut._Desemborracham.'!$A$3:$F$54,6,FALSE)</f>
        <v>407851.07880462427</v>
      </c>
      <c r="P21" s="28">
        <v>0</v>
      </c>
      <c r="Q21" s="28">
        <f>VLOOKUP($A21,'CAPEX - Manutenção_PPD'!$A$3:$F$22,6,FALSE)+VLOOKUP($A21,'CAPEX - Manutenção_PTR_Taxiway'!$A$3:$F$22,6,FALSE)+VLOOKUP($A21,'CAPEX - Manutenção_Pátio'!$A$3:$F$22,6,FALSE)+VLOOKUP($A21,'CAPEX - Manut._Desemborracham.'!$A$3:$G$54,7,FALSE)</f>
        <v>13647990.838804623</v>
      </c>
      <c r="R21" s="28">
        <v>0</v>
      </c>
      <c r="S21" s="28">
        <f>VLOOKUP($A21,'CAPEX - Manut._Desemborracham.'!$A$3:$H$54,8,FALSE)</f>
        <v>71379.218804624281</v>
      </c>
      <c r="T21" s="28">
        <v>0</v>
      </c>
      <c r="U21" s="28">
        <f>VLOOKUP($A21,'CAPEX - Manut._Desemborracham.'!$A$3:$I$54,9,FALSE)</f>
        <v>71379.218804624281</v>
      </c>
      <c r="V21" s="28">
        <f>VLOOKUP($A21,'CAPEX - Manutenção_PPD'!$A$3:$G$22,7,FALSE)+VLOOKUP($A21,'CAPEX - Manutenção_PTR_Taxiway'!$A$3:$G$22,7,FALSE)+VLOOKUP($A21,'CAPEX - Manutenção_Pátio'!$A$3:$G$22,7,FALSE)</f>
        <v>17721588.16</v>
      </c>
      <c r="W21" s="28">
        <f>VLOOKUP($A21,'CAPEX - Manut._Desemborracham.'!$A$3:$J$54,10,FALSE)</f>
        <v>71379.218804624281</v>
      </c>
      <c r="X21" s="28">
        <v>0</v>
      </c>
      <c r="Y21" s="28">
        <f>VLOOKUP($A21,'CAPEX - Manutenção_PPD'!$A$3:$H$22,8,FALSE)+VLOOKUP($A21,'CAPEX - Manutenção_PTR_Taxiway'!$A$3:$H$22,8,FALSE)+VLOOKUP($A21,'CAPEX - Manutenção_Pátio'!$A$3:$H$22,8,FALSE)+VLOOKUP($A21,'CAPEX - Manut._Desemborracham.'!$A$3:$K$54,11,FALSE)</f>
        <v>407851.07880462427</v>
      </c>
      <c r="Z21" s="28">
        <v>0</v>
      </c>
      <c r="AA21" s="28">
        <f>VLOOKUP($A21,'CAPEX - Manutenção_PPD'!$A$3:$I$22,9,FALSE)+VLOOKUP($A21,'CAPEX - Manutenção_PTR_Taxiway'!$A$3:$I$22,9,FALSE)+VLOOKUP($A21,'CAPEX - Manutenção_Pátio'!$A$3:$I$22,9,FALSE)+VLOOKUP($A21,'CAPEX - Manut._Desemborracham.'!$A$3:$L$54,12,FALSE)</f>
        <v>13647990.838804623</v>
      </c>
      <c r="AB21" s="28">
        <v>0</v>
      </c>
      <c r="AC21" s="28">
        <f>VLOOKUP($A21,'CAPEX - Manut._Desemborracham.'!$A$3:$M$54,13,FALSE)</f>
        <v>71379.218804624281</v>
      </c>
      <c r="AD21" s="28">
        <v>0</v>
      </c>
      <c r="AE21" s="28">
        <f>VLOOKUP($A21,'CAPEX - Manut._Desemborracham.'!$A$3:$N$54,14,FALSE)</f>
        <v>71379.218804624281</v>
      </c>
      <c r="AF21" s="28">
        <f>VLOOKUP($A21,'CAPEX - Manutenção_PPD'!$A$3:$J$22,10,FALSE)+VLOOKUP($A21,'CAPEX - Manutenção_PTR_Taxiway'!$A$3:$J$22,10,FALSE)+VLOOKUP($A21,'CAPEX - Manutenção_Pátio'!$A$3:$J$22,10,FALSE)</f>
        <v>336471.86</v>
      </c>
      <c r="AG21" s="28">
        <f>VLOOKUP($A21,'CAPEX - Manut._Desemborracham.'!$A$3:$O$54,15,FALSE)</f>
        <v>71379.218804624281</v>
      </c>
      <c r="AH21" s="28">
        <v>0</v>
      </c>
      <c r="AI21" s="28">
        <f>VLOOKUP($A21,'CAPEX - Manutenção_PPD'!$A$3:$K$22,11,FALSE)+VLOOKUP($A21,'CAPEX - Manutenção_PTR_Taxiway'!$A$3:$K$22,11,FALSE)+VLOOKUP($A21,'CAPEX - Manutenção_Pátio'!$A$3:$K$22,11,FALSE)+VLOOKUP($A21,'CAPEX - Manut._Desemborracham.'!$A$3:$P$54,16,FALSE)</f>
        <v>407851.07880462427</v>
      </c>
      <c r="AJ21" s="28">
        <v>0</v>
      </c>
      <c r="AK21" s="28">
        <f>VLOOKUP($A21,'CAPEX - Manut._Desemborracham.'!$A$3:$Q$54,17,FALSE)</f>
        <v>71379.218804624281</v>
      </c>
      <c r="AL21" s="28">
        <v>0</v>
      </c>
      <c r="AM21" s="28">
        <f t="shared" ref="AM21" si="2">SUM(H21:AL21)</f>
        <v>101100738.42206939</v>
      </c>
      <c r="AN21" s="29">
        <v>4</v>
      </c>
      <c r="AO21" s="29" t="s">
        <v>97</v>
      </c>
      <c r="AP21" s="29" t="s">
        <v>97</v>
      </c>
      <c r="AQ21" s="29" t="s">
        <v>97</v>
      </c>
      <c r="AR21" s="29" t="s">
        <v>97</v>
      </c>
      <c r="AS21" s="29" t="s">
        <v>97</v>
      </c>
      <c r="AT21" s="29" t="s">
        <v>97</v>
      </c>
      <c r="AU21" s="17" t="s">
        <v>151</v>
      </c>
      <c r="AV21" s="3">
        <f>VLOOKUP(A21,'BASE PAN - CAPEX'!$A$3:$H$22,8,FALSE)</f>
        <v>4</v>
      </c>
    </row>
    <row r="22" spans="1:48" x14ac:dyDescent="0.25">
      <c r="H22" s="27">
        <f t="shared" ref="H22:AL22" si="3">SUBTOTAL(109,H3:H21)</f>
        <v>337818225.28000003</v>
      </c>
      <c r="I22" s="27">
        <f>SUBTOTAL(109,I3:I21)</f>
        <v>246759503.72231185</v>
      </c>
      <c r="J22" s="27">
        <f t="shared" si="3"/>
        <v>245821000</v>
      </c>
      <c r="K22" s="27">
        <f t="shared" si="3"/>
        <v>938503.72231178032</v>
      </c>
      <c r="L22" s="27">
        <f t="shared" si="3"/>
        <v>3629923.4699999997</v>
      </c>
      <c r="M22" s="27">
        <f t="shared" si="3"/>
        <v>938503.72231178032</v>
      </c>
      <c r="N22" s="27">
        <f t="shared" si="3"/>
        <v>0</v>
      </c>
      <c r="O22" s="27">
        <f t="shared" si="3"/>
        <v>4568427.1923117805</v>
      </c>
      <c r="P22" s="27">
        <f t="shared" si="3"/>
        <v>0</v>
      </c>
      <c r="Q22" s="27">
        <f t="shared" si="3"/>
        <v>156390390.45231175</v>
      </c>
      <c r="R22" s="27">
        <f t="shared" si="3"/>
        <v>0</v>
      </c>
      <c r="S22" s="27">
        <f t="shared" si="3"/>
        <v>938503.72231178032</v>
      </c>
      <c r="T22" s="27">
        <f t="shared" si="3"/>
        <v>0</v>
      </c>
      <c r="U22" s="27">
        <f t="shared" si="3"/>
        <v>938503.72231178032</v>
      </c>
      <c r="V22" s="27">
        <f t="shared" si="3"/>
        <v>118823404.04000001</v>
      </c>
      <c r="W22" s="27">
        <f t="shared" si="3"/>
        <v>938503.72231178032</v>
      </c>
      <c r="X22" s="27">
        <f t="shared" si="3"/>
        <v>0</v>
      </c>
      <c r="Y22" s="27">
        <f t="shared" si="3"/>
        <v>4568427.1923117805</v>
      </c>
      <c r="Z22" s="27">
        <f t="shared" si="3"/>
        <v>0</v>
      </c>
      <c r="AA22" s="27">
        <f t="shared" si="3"/>
        <v>156390390.45231175</v>
      </c>
      <c r="AB22" s="27">
        <f t="shared" si="3"/>
        <v>0</v>
      </c>
      <c r="AC22" s="27">
        <f t="shared" si="3"/>
        <v>938503.72231178032</v>
      </c>
      <c r="AD22" s="27">
        <f t="shared" si="3"/>
        <v>0</v>
      </c>
      <c r="AE22" s="27">
        <f t="shared" si="3"/>
        <v>938503.72231178032</v>
      </c>
      <c r="AF22" s="27">
        <f t="shared" si="3"/>
        <v>3629923.4699999997</v>
      </c>
      <c r="AG22" s="27">
        <f t="shared" si="3"/>
        <v>938503.72231178032</v>
      </c>
      <c r="AH22" s="27">
        <f t="shared" si="3"/>
        <v>0</v>
      </c>
      <c r="AI22" s="27">
        <f t="shared" si="3"/>
        <v>4568427.1923117805</v>
      </c>
      <c r="AJ22" s="27">
        <f t="shared" si="3"/>
        <v>0</v>
      </c>
      <c r="AK22" s="27">
        <f t="shared" si="3"/>
        <v>938503.72231178032</v>
      </c>
      <c r="AL22" s="27">
        <f t="shared" si="3"/>
        <v>0</v>
      </c>
      <c r="AM22" s="27">
        <f>SUBTOTAL(109,AM3:AM21)</f>
        <v>1291414575.9646766</v>
      </c>
      <c r="AO22" s="3"/>
      <c r="AP22" s="3"/>
      <c r="AQ22" s="3"/>
      <c r="AR22" s="3"/>
      <c r="AS22" s="3"/>
      <c r="AT22" s="3"/>
    </row>
    <row r="23" spans="1:48" x14ac:dyDescent="0.25">
      <c r="H23" s="27">
        <f>H22</f>
        <v>337818225.28000003</v>
      </c>
      <c r="I23" s="27">
        <f>H23+I22</f>
        <v>584577729.00231194</v>
      </c>
      <c r="J23" s="27">
        <f t="shared" ref="J23:AL23" si="4">I23+J22</f>
        <v>830398729.00231194</v>
      </c>
      <c r="K23" s="27">
        <f t="shared" si="4"/>
        <v>831337232.72462368</v>
      </c>
      <c r="L23" s="27">
        <f t="shared" si="4"/>
        <v>834967156.19462371</v>
      </c>
      <c r="M23" s="27">
        <f t="shared" si="4"/>
        <v>835905659.91693544</v>
      </c>
      <c r="N23" s="27">
        <f t="shared" si="4"/>
        <v>835905659.91693544</v>
      </c>
      <c r="O23" s="27">
        <f t="shared" si="4"/>
        <v>840474087.10924721</v>
      </c>
      <c r="P23" s="27">
        <f t="shared" si="4"/>
        <v>840474087.10924721</v>
      </c>
      <c r="Q23" s="27">
        <f t="shared" si="4"/>
        <v>996864477.56155896</v>
      </c>
      <c r="R23" s="27">
        <f t="shared" si="4"/>
        <v>996864477.56155896</v>
      </c>
      <c r="S23" s="27">
        <f t="shared" si="4"/>
        <v>997802981.2838707</v>
      </c>
      <c r="T23" s="27">
        <f t="shared" si="4"/>
        <v>997802981.2838707</v>
      </c>
      <c r="U23" s="27">
        <f t="shared" si="4"/>
        <v>998741485.00618243</v>
      </c>
      <c r="V23" s="27">
        <f t="shared" si="4"/>
        <v>1117564889.0461824</v>
      </c>
      <c r="W23" s="27">
        <f t="shared" si="4"/>
        <v>1118503392.7684941</v>
      </c>
      <c r="X23" s="27">
        <f t="shared" si="4"/>
        <v>1118503392.7684941</v>
      </c>
      <c r="Y23" s="27">
        <f t="shared" si="4"/>
        <v>1123071819.9608059</v>
      </c>
      <c r="Z23" s="27">
        <f t="shared" si="4"/>
        <v>1123071819.9608059</v>
      </c>
      <c r="AA23" s="27">
        <f t="shared" si="4"/>
        <v>1279462210.4131176</v>
      </c>
      <c r="AB23" s="27">
        <f t="shared" si="4"/>
        <v>1279462210.4131176</v>
      </c>
      <c r="AC23" s="27">
        <f t="shared" si="4"/>
        <v>1280400714.1354294</v>
      </c>
      <c r="AD23" s="27">
        <f t="shared" si="4"/>
        <v>1280400714.1354294</v>
      </c>
      <c r="AE23" s="27">
        <f t="shared" si="4"/>
        <v>1281339217.8577411</v>
      </c>
      <c r="AF23" s="27">
        <f t="shared" si="4"/>
        <v>1284969141.3277411</v>
      </c>
      <c r="AG23" s="27">
        <f t="shared" si="4"/>
        <v>1285907645.0500529</v>
      </c>
      <c r="AH23" s="27">
        <f t="shared" si="4"/>
        <v>1285907645.0500529</v>
      </c>
      <c r="AI23" s="27">
        <f t="shared" si="4"/>
        <v>1290476072.2423646</v>
      </c>
      <c r="AJ23" s="27">
        <f t="shared" si="4"/>
        <v>1290476072.2423646</v>
      </c>
      <c r="AK23" s="27">
        <f t="shared" si="4"/>
        <v>1291414575.9646764</v>
      </c>
      <c r="AL23" s="27">
        <f t="shared" si="4"/>
        <v>1291414575.9646764</v>
      </c>
      <c r="AO23" s="3"/>
      <c r="AP23" s="3"/>
      <c r="AQ23" s="3"/>
      <c r="AR23" s="3"/>
      <c r="AS23" s="3"/>
      <c r="AT23" s="3"/>
    </row>
    <row r="24" spans="1:48" x14ac:dyDescent="0.25">
      <c r="B24" s="2" t="s">
        <v>153</v>
      </c>
      <c r="C24" s="2">
        <v>1.6</v>
      </c>
    </row>
    <row r="25" spans="1:48" x14ac:dyDescent="0.25">
      <c r="B25" s="2" t="s">
        <v>315</v>
      </c>
      <c r="C25" s="2">
        <v>1.8</v>
      </c>
    </row>
    <row r="28" spans="1:48" x14ac:dyDescent="0.25">
      <c r="A28" s="23" t="s">
        <v>146</v>
      </c>
    </row>
  </sheetData>
  <autoFilter ref="A2:AU26" xr:uid="{DB2C9C07-6709-46B2-80CF-1F4B955233A0}"/>
  <conditionalFormatting sqref="C3:C16">
    <cfRule type="duplicateValues" dxfId="7" priority="399"/>
  </conditionalFormatting>
  <hyperlinks>
    <hyperlink ref="A28" location="Introdução!A1" display="Introdução!A1" xr:uid="{BC93DC41-5CBF-4317-BBA3-8CD8DE8DBCDE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9F90-93CF-48CA-B784-D48786497B7D}">
  <sheetPr codeName="Planilha10">
    <tabColor rgb="FF00B0F0"/>
  </sheetPr>
  <dimension ref="A1:AV28"/>
  <sheetViews>
    <sheetView topLeftCell="AF1" workbookViewId="0">
      <selection activeCell="A3" sqref="A3"/>
    </sheetView>
  </sheetViews>
  <sheetFormatPr defaultRowHeight="15" x14ac:dyDescent="0.25"/>
  <cols>
    <col min="1" max="1" width="7" bestFit="1" customWidth="1"/>
    <col min="2" max="2" width="19" customWidth="1"/>
    <col min="3" max="3" width="13.140625" bestFit="1" customWidth="1"/>
    <col min="4" max="4" width="16.42578125" customWidth="1"/>
    <col min="5" max="5" width="3.85546875" bestFit="1" customWidth="1"/>
    <col min="6" max="7" width="11.85546875" customWidth="1"/>
    <col min="8" max="8" width="18" bestFit="1" customWidth="1"/>
    <col min="9" max="9" width="19.42578125" bestFit="1" customWidth="1"/>
    <col min="10" max="38" width="19.7109375" bestFit="1" customWidth="1"/>
    <col min="39" max="39" width="19.42578125" bestFit="1" customWidth="1"/>
    <col min="40" max="40" width="22.85546875" bestFit="1" customWidth="1"/>
    <col min="41" max="41" width="10.7109375" bestFit="1" customWidth="1"/>
    <col min="42" max="42" width="11.42578125" customWidth="1"/>
    <col min="43" max="43" width="11.140625" customWidth="1"/>
    <col min="44" max="44" width="11.140625" bestFit="1" customWidth="1"/>
    <col min="45" max="45" width="11.28515625" customWidth="1"/>
    <col min="46" max="47" width="11.140625" bestFit="1" customWidth="1"/>
    <col min="48" max="48" width="18.85546875" bestFit="1" customWidth="1"/>
  </cols>
  <sheetData>
    <row r="1" spans="1:4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 t="s">
        <v>120</v>
      </c>
      <c r="I1" s="2" t="s">
        <v>120</v>
      </c>
      <c r="J1" s="2" t="s">
        <v>120</v>
      </c>
      <c r="K1" s="2" t="s">
        <v>120</v>
      </c>
      <c r="L1" s="2" t="s">
        <v>120</v>
      </c>
      <c r="M1" s="2" t="s">
        <v>120</v>
      </c>
      <c r="N1" s="2" t="s">
        <v>120</v>
      </c>
      <c r="O1" s="2" t="s">
        <v>120</v>
      </c>
      <c r="P1" s="2" t="s">
        <v>120</v>
      </c>
      <c r="Q1" s="2" t="s">
        <v>120</v>
      </c>
      <c r="R1" s="2" t="s">
        <v>120</v>
      </c>
      <c r="S1" s="2" t="s">
        <v>120</v>
      </c>
      <c r="T1" s="2" t="s">
        <v>120</v>
      </c>
      <c r="U1" s="2" t="s">
        <v>120</v>
      </c>
      <c r="V1" s="2" t="s">
        <v>120</v>
      </c>
      <c r="W1" s="2" t="s">
        <v>120</v>
      </c>
      <c r="X1" s="2" t="s">
        <v>120</v>
      </c>
      <c r="Y1" s="2" t="s">
        <v>120</v>
      </c>
      <c r="Z1" s="2" t="s">
        <v>120</v>
      </c>
      <c r="AA1" s="2" t="s">
        <v>120</v>
      </c>
      <c r="AB1" s="2" t="s">
        <v>120</v>
      </c>
      <c r="AC1" s="2" t="s">
        <v>120</v>
      </c>
      <c r="AD1" s="2" t="s">
        <v>120</v>
      </c>
      <c r="AE1" s="2" t="s">
        <v>120</v>
      </c>
      <c r="AF1" s="2" t="s">
        <v>120</v>
      </c>
      <c r="AG1" s="2" t="s">
        <v>120</v>
      </c>
      <c r="AH1" s="2" t="s">
        <v>120</v>
      </c>
      <c r="AI1" s="2" t="s">
        <v>120</v>
      </c>
      <c r="AJ1" s="2" t="s">
        <v>120</v>
      </c>
      <c r="AK1" s="2" t="s">
        <v>120</v>
      </c>
      <c r="AL1" s="2" t="s">
        <v>120</v>
      </c>
      <c r="AM1" s="2" t="s">
        <v>120</v>
      </c>
      <c r="AN1" s="2" t="s">
        <v>152</v>
      </c>
      <c r="AO1" s="2" t="s">
        <v>6</v>
      </c>
      <c r="AP1" s="2" t="s">
        <v>7</v>
      </c>
      <c r="AQ1" s="2"/>
      <c r="AR1" s="2"/>
      <c r="AS1" s="2" t="s">
        <v>8</v>
      </c>
      <c r="AT1" s="2"/>
      <c r="AU1" s="2"/>
      <c r="AV1" s="2" t="s">
        <v>295</v>
      </c>
    </row>
    <row r="2" spans="1:48" x14ac:dyDescent="0.25">
      <c r="A2" s="26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" t="s">
        <v>9</v>
      </c>
      <c r="H2" s="11">
        <v>1</v>
      </c>
      <c r="I2" s="11">
        <v>2</v>
      </c>
      <c r="J2" s="11">
        <v>3</v>
      </c>
      <c r="K2" s="11">
        <v>4</v>
      </c>
      <c r="L2" s="11">
        <v>5</v>
      </c>
      <c r="M2" s="11">
        <v>6</v>
      </c>
      <c r="N2" s="11">
        <v>7</v>
      </c>
      <c r="O2" s="11">
        <v>8</v>
      </c>
      <c r="P2" s="11">
        <v>9</v>
      </c>
      <c r="Q2" s="11">
        <v>10</v>
      </c>
      <c r="R2" s="11">
        <v>11</v>
      </c>
      <c r="S2" s="11">
        <v>12</v>
      </c>
      <c r="T2" s="11">
        <v>13</v>
      </c>
      <c r="U2" s="11">
        <v>14</v>
      </c>
      <c r="V2" s="11">
        <v>15</v>
      </c>
      <c r="W2" s="11">
        <v>16</v>
      </c>
      <c r="X2" s="11">
        <v>17</v>
      </c>
      <c r="Y2" s="11">
        <v>18</v>
      </c>
      <c r="Z2" s="11">
        <v>19</v>
      </c>
      <c r="AA2" s="11">
        <v>20</v>
      </c>
      <c r="AB2" s="11">
        <v>21</v>
      </c>
      <c r="AC2" s="11">
        <v>22</v>
      </c>
      <c r="AD2" s="11">
        <v>23</v>
      </c>
      <c r="AE2" s="11">
        <v>24</v>
      </c>
      <c r="AF2" s="11">
        <v>25</v>
      </c>
      <c r="AG2" s="11">
        <v>26</v>
      </c>
      <c r="AH2" s="11">
        <v>27</v>
      </c>
      <c r="AI2" s="11">
        <v>28</v>
      </c>
      <c r="AJ2" s="11">
        <v>29</v>
      </c>
      <c r="AK2" s="11">
        <v>30</v>
      </c>
      <c r="AL2" s="11">
        <v>31</v>
      </c>
      <c r="AM2" s="2" t="s">
        <v>121</v>
      </c>
      <c r="AN2" s="26" t="s">
        <v>150</v>
      </c>
      <c r="AO2" s="2"/>
      <c r="AP2" s="2" t="s">
        <v>21</v>
      </c>
      <c r="AQ2" s="2" t="s">
        <v>22</v>
      </c>
      <c r="AR2" s="2" t="s">
        <v>23</v>
      </c>
      <c r="AS2" s="2" t="s">
        <v>21</v>
      </c>
      <c r="AT2" s="2" t="s">
        <v>22</v>
      </c>
      <c r="AU2" s="2" t="s">
        <v>23</v>
      </c>
      <c r="AV2" s="2"/>
    </row>
    <row r="3" spans="1:48" x14ac:dyDescent="0.25">
      <c r="A3" t="s">
        <v>36</v>
      </c>
      <c r="B3" t="s">
        <v>37</v>
      </c>
      <c r="C3" t="s">
        <v>38</v>
      </c>
      <c r="D3" t="s">
        <v>37</v>
      </c>
      <c r="E3" t="s">
        <v>24</v>
      </c>
      <c r="F3" t="s">
        <v>28</v>
      </c>
      <c r="G3" t="s">
        <v>29</v>
      </c>
      <c r="H3" s="1">
        <f>(VLOOKUP($A3,'BASE PAN - CAPEX'!$A$3:$I$22,9,FALSE)/3)+VLOOKUP($A3,'CAPEX - Manutenção_PPD'!$A$3:$C$22,3,FALSE)+VLOOKUP($A3,'CAPEX - Manutenção_PTR_Taxiway'!$A$3:$C$22,3,FALSE)+VLOOKUP($A3,'CAPEX - Manutenção_Pátio'!$A$3:$C$22,3,FALSE)+VLOOKUP($A3,'CAPEX - Navegação Aérea'!$A$3:$H$22,8,FALSE)</f>
        <v>16086666.666666666</v>
      </c>
      <c r="I3" s="1">
        <f>(VLOOKUP($A3,'BASE PAN - CAPEX'!$A$3:$I$22,9,FALSE)/3)+VLOOKUP($A3,'CAPEX - Manut._Desemborracham.'!$A$3:$C$54,3,FALSE)</f>
        <v>15303163.018527765</v>
      </c>
      <c r="J3" s="1">
        <f>(VLOOKUP($A3,'BASE PAN - CAPEX'!$A$3:$I$22,9,FALSE)/3)</f>
        <v>15211666.666666666</v>
      </c>
      <c r="K3" s="1">
        <f>VLOOKUP($A3,'CAPEX - Manut._Desemborracham.'!$A$3:$D$54,4,FALSE)</f>
        <v>91496.351861098257</v>
      </c>
      <c r="L3" s="1">
        <f>VLOOKUP($A3,'CAPEX - Manutenção_PPD'!$A$3:$D$22,4,FALSE)+VLOOKUP($A3,'CAPEX - Manutenção_PTR_Taxiway'!$A$3:$D$22,4,FALSE)+VLOOKUP($A3,'CAPEX - Manutenção_Pátio'!$A$3:$D$22,4,FALSE)</f>
        <v>206657.08</v>
      </c>
      <c r="M3" s="1">
        <f>VLOOKUP($A3,'CAPEX - Manut._Desemborracham.'!$A$3:$E$54,5,FALSE)</f>
        <v>91496.351861098257</v>
      </c>
      <c r="N3" s="1">
        <v>0</v>
      </c>
      <c r="O3" s="1">
        <f>VLOOKUP($A3,'CAPEX - Manutenção_PPD'!$A$3:$E$22,5,FALSE)+VLOOKUP($A3,'CAPEX - Manutenção_PTR_Taxiway'!$A$3:$E$22,5,FALSE)+VLOOKUP($A3,'CAPEX - Manutenção_Pátio'!$A$3:$E$22,5,FALSE)+VLOOKUP($A3,'CAPEX - Manut._Desemborracham.'!$A$3:$F$54,6,FALSE)</f>
        <v>298153.43186109827</v>
      </c>
      <c r="P3" s="1">
        <v>0</v>
      </c>
      <c r="Q3" s="1">
        <f>VLOOKUP($A3,'CAPEX - Manutenção_PPD'!$A$3:$F$22,6,FALSE)+VLOOKUP($A3,'CAPEX - Manutenção_PTR_Taxiway'!$A$3:$F$22,6,FALSE)+VLOOKUP($A3,'CAPEX - Manutenção_Pátio'!$A$3:$F$22,6,FALSE)+VLOOKUP($A3,'CAPEX - Manut._Desemborracham.'!$A$3:$G$54,7,FALSE)</f>
        <v>7654855.6818610979</v>
      </c>
      <c r="R3" s="1">
        <v>0</v>
      </c>
      <c r="S3" s="1">
        <f>VLOOKUP($A3,'CAPEX - Manut._Desemborracham.'!$A$3:$H$54,8,FALSE)</f>
        <v>91496.351861098257</v>
      </c>
      <c r="T3" s="1">
        <v>0</v>
      </c>
      <c r="U3" s="1">
        <f>VLOOKUP($A3,'CAPEX - Manut._Desemborracham.'!$A$3:$I$54,9,FALSE)</f>
        <v>91496.351861098257</v>
      </c>
      <c r="V3" s="1">
        <f>VLOOKUP($A3,'CAPEX - Manutenção_PPD'!$A$3:$G$22,7,FALSE)+VLOOKUP($A3,'CAPEX - Manutenção_PTR_Taxiway'!$A$3:$G$22,7,FALSE)+VLOOKUP($A3,'CAPEX - Manutenção_Pátio'!$A$3:$G$22,7,FALSE)</f>
        <v>5374279.3700000001</v>
      </c>
      <c r="W3" s="1">
        <f>VLOOKUP($A3,'CAPEX - Manut._Desemborracham.'!$A$3:$J$54,10,FALSE)</f>
        <v>91496.351861098257</v>
      </c>
      <c r="X3" s="1">
        <v>0</v>
      </c>
      <c r="Y3" s="1">
        <f>VLOOKUP($A3,'CAPEX - Manutenção_PPD'!$A$3:$H$22,8,FALSE)+VLOOKUP($A3,'CAPEX - Manutenção_PTR_Taxiway'!$A$3:$H$22,8,FALSE)+VLOOKUP($A3,'CAPEX - Manutenção_Pátio'!$A$3:$H$22,8,FALSE)+VLOOKUP($A3,'CAPEX - Manut._Desemborracham.'!$A$3:$K$54,11,FALSE)</f>
        <v>298153.43186109827</v>
      </c>
      <c r="Z3" s="1">
        <v>0</v>
      </c>
      <c r="AA3" s="1">
        <f>VLOOKUP($A3,'CAPEX - Manutenção_PPD'!$A$3:$I$22,9,FALSE)+VLOOKUP($A3,'CAPEX - Manutenção_PTR_Taxiway'!$A$3:$I$22,9,FALSE)+VLOOKUP($A3,'CAPEX - Manutenção_Pátio'!$A$3:$I$22,9,FALSE)+VLOOKUP($A3,'CAPEX - Manut._Desemborracham.'!$A$3:$L$54,12,FALSE)</f>
        <v>7654855.6818610979</v>
      </c>
      <c r="AB3" s="1">
        <v>0</v>
      </c>
      <c r="AC3" s="1">
        <f>VLOOKUP($A3,'CAPEX - Manut._Desemborracham.'!$A$3:$M$54,13,FALSE)</f>
        <v>91496.351861098257</v>
      </c>
      <c r="AD3" s="1">
        <v>0</v>
      </c>
      <c r="AE3" s="1">
        <f>VLOOKUP($A3,'CAPEX - Manut._Desemborracham.'!$A$3:$N$54,14,FALSE)</f>
        <v>91496.351861098257</v>
      </c>
      <c r="AF3" s="1">
        <f>VLOOKUP($A3,'CAPEX - Manutenção_PPD'!$A$3:$J$22,10,FALSE)+VLOOKUP($A3,'CAPEX - Manutenção_PTR_Taxiway'!$A$3:$J$22,10,FALSE)+VLOOKUP($A3,'CAPEX - Manutenção_Pátio'!$A$3:$J$22,10,FALSE)</f>
        <v>206657.08</v>
      </c>
      <c r="AG3" s="1">
        <f>VLOOKUP($A3,'CAPEX - Manut._Desemborracham.'!$A$3:$O$54,15,FALSE)</f>
        <v>91496.351861098257</v>
      </c>
      <c r="AH3" s="1">
        <v>0</v>
      </c>
      <c r="AI3" s="1">
        <f>VLOOKUP($A3,'CAPEX - Manutenção_PPD'!$A$3:$K$22,11,FALSE)+VLOOKUP($A3,'CAPEX - Manutenção_PTR_Taxiway'!$A$3:$K$22,11,FALSE)+VLOOKUP($A3,'CAPEX - Manutenção_Pátio'!$A$3:$K$22,11,FALSE)+VLOOKUP($A3,'CAPEX - Manut._Desemborracham.'!$A$3:$P$54,16,FALSE)</f>
        <v>298153.43186109827</v>
      </c>
      <c r="AJ3" s="1">
        <v>0</v>
      </c>
      <c r="AK3" s="1">
        <f>VLOOKUP($A3,'CAPEX - Manut._Desemborracham.'!$A$3:$Q$54,17,FALSE)</f>
        <v>91496.351861098257</v>
      </c>
      <c r="AL3" s="1">
        <v>0</v>
      </c>
      <c r="AM3" s="1">
        <f>SUM(H3:AL3)</f>
        <v>69416728.707916483</v>
      </c>
      <c r="AN3" t="str">
        <f>VLOOKUP(C3,'[11]CAPEX - BLOCOS PAN'!$C$3:$AN$249,38,FALSE)</f>
        <v>N</v>
      </c>
      <c r="AO3" s="3">
        <v>1</v>
      </c>
      <c r="AP3" s="3" t="s">
        <v>97</v>
      </c>
      <c r="AQ3" s="3">
        <v>2045</v>
      </c>
      <c r="AR3" s="3">
        <v>2025</v>
      </c>
      <c r="AS3" s="3" t="s">
        <v>97</v>
      </c>
      <c r="AT3" s="3">
        <v>3</v>
      </c>
      <c r="AU3" s="3">
        <v>2</v>
      </c>
      <c r="AV3" s="3">
        <f>VLOOKUP($A3,'BASE PAN - CAPEX'!$A$3:$H$22,8,FALSE)</f>
        <v>3</v>
      </c>
    </row>
    <row r="4" spans="1:48" x14ac:dyDescent="0.25">
      <c r="A4" t="s">
        <v>39</v>
      </c>
      <c r="B4" t="s">
        <v>40</v>
      </c>
      <c r="C4" t="s">
        <v>41</v>
      </c>
      <c r="D4" t="s">
        <v>42</v>
      </c>
      <c r="E4" t="s">
        <v>34</v>
      </c>
      <c r="F4" t="s">
        <v>28</v>
      </c>
      <c r="G4" t="s">
        <v>29</v>
      </c>
      <c r="H4" s="1">
        <f>(VLOOKUP($A4,'BASE PAN - CAPEX'!$A$3:$I$22,9,FALSE)/3)+VLOOKUP($A4,'CAPEX - Manutenção_PPD'!$A$3:$C$22,3,FALSE)+VLOOKUP($A4,'CAPEX - Manutenção_PTR_Taxiway'!$A$3:$C$22,3,FALSE)+VLOOKUP($A4,'CAPEX - Manutenção_Pátio'!$A$3:$C$22,3,FALSE)+VLOOKUP($A4,'CAPEX - Navegação Aérea'!$A$3:$H$22,8,FALSE)</f>
        <v>23970066.433333334</v>
      </c>
      <c r="I4" s="1">
        <f>(VLOOKUP($A4,'BASE PAN - CAPEX'!$A$3:$I$22,9,FALSE)/3)+VLOOKUP($A4,'CAPEX - Manut._Desemborracham.'!$A$3:$C$54,3,FALSE)</f>
        <v>7928126.9183532288</v>
      </c>
      <c r="J4" s="1">
        <f>(VLOOKUP($A4,'BASE PAN - CAPEX'!$A$3:$I$22,9,FALSE)/3)</f>
        <v>7858333.333333333</v>
      </c>
      <c r="K4" s="1">
        <f>VLOOKUP($A4,'CAPEX - Manut._Desemborracham.'!$A$3:$D$54,4,FALSE)</f>
        <v>69793.585019895952</v>
      </c>
      <c r="L4" s="1">
        <f>VLOOKUP($A4,'CAPEX - Manutenção_PPD'!$A$3:$D$22,4,FALSE)+VLOOKUP($A4,'CAPEX - Manutenção_PTR_Taxiway'!$A$3:$D$22,4,FALSE)+VLOOKUP($A4,'CAPEX - Manutenção_Pátio'!$A$3:$D$22,4,FALSE)</f>
        <v>208895.29</v>
      </c>
      <c r="M4" s="1">
        <f>VLOOKUP($A4,'CAPEX - Manut._Desemborracham.'!$A$3:$E$54,5,FALSE)</f>
        <v>69793.585019895952</v>
      </c>
      <c r="N4" s="1">
        <v>0</v>
      </c>
      <c r="O4" s="1">
        <f>VLOOKUP($A4,'CAPEX - Manutenção_PPD'!$A$3:$E$22,5,FALSE)+VLOOKUP($A4,'CAPEX - Manutenção_PTR_Taxiway'!$A$3:$E$22,5,FALSE)+VLOOKUP($A4,'CAPEX - Manutenção_Pátio'!$A$3:$E$22,5,FALSE)+VLOOKUP($A4,'CAPEX - Manut._Desemborracham.'!$A$3:$F$54,6,FALSE)</f>
        <v>278688.87501989596</v>
      </c>
      <c r="P4" s="1">
        <v>0</v>
      </c>
      <c r="Q4" s="1">
        <f>VLOOKUP($A4,'CAPEX - Manutenção_PPD'!$A$3:$F$22,6,FALSE)+VLOOKUP($A4,'CAPEX - Manutenção_PTR_Taxiway'!$A$3:$F$22,6,FALSE)+VLOOKUP($A4,'CAPEX - Manutenção_Pátio'!$A$3:$F$22,6,FALSE)+VLOOKUP($A4,'CAPEX - Manut._Desemborracham.'!$A$3:$G$54,7,FALSE)</f>
        <v>8184477.6350198956</v>
      </c>
      <c r="R4" s="1">
        <v>0</v>
      </c>
      <c r="S4" s="1">
        <f>VLOOKUP($A4,'CAPEX - Manut._Desemborracham.'!$A$3:$H$54,8,FALSE)</f>
        <v>69793.585019895952</v>
      </c>
      <c r="T4" s="1">
        <v>0</v>
      </c>
      <c r="U4" s="1">
        <f>VLOOKUP($A4,'CAPEX - Manut._Desemborracham.'!$A$3:$I$54,9,FALSE)</f>
        <v>69793.585019895952</v>
      </c>
      <c r="V4" s="1">
        <f>VLOOKUP($A4,'CAPEX - Manutenção_PPD'!$A$3:$G$22,7,FALSE)+VLOOKUP($A4,'CAPEX - Manutenção_PTR_Taxiway'!$A$3:$G$22,7,FALSE)+VLOOKUP($A4,'CAPEX - Manutenção_Pátio'!$A$3:$G$22,7,FALSE)</f>
        <v>8131778.9900000002</v>
      </c>
      <c r="W4" s="1">
        <f>VLOOKUP($A4,'CAPEX - Manut._Desemborracham.'!$A$3:$J$54,10,FALSE)</f>
        <v>69793.585019895952</v>
      </c>
      <c r="X4" s="1">
        <v>0</v>
      </c>
      <c r="Y4" s="1">
        <f>VLOOKUP($A4,'CAPEX - Manutenção_PPD'!$A$3:$H$22,8,FALSE)+VLOOKUP($A4,'CAPEX - Manutenção_PTR_Taxiway'!$A$3:$H$22,8,FALSE)+VLOOKUP($A4,'CAPEX - Manutenção_Pátio'!$A$3:$H$22,8,FALSE)+VLOOKUP($A4,'CAPEX - Manut._Desemborracham.'!$A$3:$K$54,11,FALSE)</f>
        <v>278688.87501989596</v>
      </c>
      <c r="Z4" s="1">
        <v>0</v>
      </c>
      <c r="AA4" s="1">
        <f>VLOOKUP($A4,'CAPEX - Manutenção_PPD'!$A$3:$I$22,9,FALSE)+VLOOKUP($A4,'CAPEX - Manutenção_PTR_Taxiway'!$A$3:$I$22,9,FALSE)+VLOOKUP($A4,'CAPEX - Manutenção_Pátio'!$A$3:$I$22,9,FALSE)+VLOOKUP($A4,'CAPEX - Manut._Desemborracham.'!$A$3:$L$54,12,FALSE)</f>
        <v>8184477.6350198956</v>
      </c>
      <c r="AB4" s="1">
        <v>0</v>
      </c>
      <c r="AC4" s="1">
        <f>VLOOKUP($A4,'CAPEX - Manut._Desemborracham.'!$A$3:$M$54,13,FALSE)</f>
        <v>69793.585019895952</v>
      </c>
      <c r="AD4" s="1">
        <v>0</v>
      </c>
      <c r="AE4" s="1">
        <f>VLOOKUP($A4,'CAPEX - Manut._Desemborracham.'!$A$3:$N$54,14,FALSE)</f>
        <v>69793.585019895952</v>
      </c>
      <c r="AF4" s="1">
        <f>VLOOKUP($A4,'CAPEX - Manutenção_PPD'!$A$3:$J$22,10,FALSE)+VLOOKUP($A4,'CAPEX - Manutenção_PTR_Taxiway'!$A$3:$J$22,10,FALSE)+VLOOKUP($A4,'CAPEX - Manutenção_Pátio'!$A$3:$J$22,10,FALSE)</f>
        <v>208895.29</v>
      </c>
      <c r="AG4" s="1">
        <f>VLOOKUP($A4,'CAPEX - Manut._Desemborracham.'!$A$3:$O$54,15,FALSE)</f>
        <v>69793.585019895952</v>
      </c>
      <c r="AH4" s="1">
        <v>0</v>
      </c>
      <c r="AI4" s="1">
        <f>VLOOKUP($A4,'CAPEX - Manutenção_PPD'!$A$3:$K$22,11,FALSE)+VLOOKUP($A4,'CAPEX - Manutenção_PTR_Taxiway'!$A$3:$K$22,11,FALSE)+VLOOKUP($A4,'CAPEX - Manutenção_Pátio'!$A$3:$K$22,11,FALSE)+VLOOKUP($A4,'CAPEX - Manut._Desemborracham.'!$A$3:$P$54,16,FALSE)</f>
        <v>278688.87501989596</v>
      </c>
      <c r="AJ4" s="1">
        <v>0</v>
      </c>
      <c r="AK4" s="1">
        <f>VLOOKUP($A4,'CAPEX - Manut._Desemborracham.'!$A$3:$Q$54,17,FALSE)</f>
        <v>69793.585019895952</v>
      </c>
      <c r="AL4" s="1">
        <v>0</v>
      </c>
      <c r="AM4" s="1">
        <f t="shared" ref="AM4:AM17" si="0">SUM(H4:AL4)</f>
        <v>66139260.415298417</v>
      </c>
      <c r="AN4" t="str">
        <f>VLOOKUP(C4,'[11]CAPEX - BLOCOS PAN'!$C$3:$AN$249,38,FALSE)</f>
        <v>NE e CO</v>
      </c>
      <c r="AO4" s="3">
        <v>1</v>
      </c>
      <c r="AP4" s="3" t="s">
        <v>97</v>
      </c>
      <c r="AQ4" s="3">
        <v>2039</v>
      </c>
      <c r="AR4" s="3">
        <v>2025</v>
      </c>
      <c r="AS4" s="3" t="s">
        <v>97</v>
      </c>
      <c r="AT4" s="3">
        <v>3</v>
      </c>
      <c r="AU4" s="3">
        <v>2</v>
      </c>
      <c r="AV4" s="3">
        <f>VLOOKUP($A4,'BASE PAN - CAPEX'!$A$3:$H$22,8,FALSE)</f>
        <v>3</v>
      </c>
    </row>
    <row r="5" spans="1:48" x14ac:dyDescent="0.25">
      <c r="A5" t="s">
        <v>43</v>
      </c>
      <c r="B5" t="s">
        <v>44</v>
      </c>
      <c r="C5" t="s">
        <v>45</v>
      </c>
      <c r="D5" t="s">
        <v>44</v>
      </c>
      <c r="E5" t="s">
        <v>30</v>
      </c>
      <c r="F5" t="s">
        <v>28</v>
      </c>
      <c r="G5" t="s">
        <v>29</v>
      </c>
      <c r="H5" s="1">
        <f>(VLOOKUP($A5,'BASE PAN - CAPEX'!$A$3:$I$22,9,FALSE)/3)+VLOOKUP($A5,'CAPEX - Manutenção_PPD'!$A$3:$C$22,3,FALSE)+VLOOKUP($A5,'CAPEX - Manutenção_PTR_Taxiway'!$A$3:$C$22,3,FALSE)+VLOOKUP($A5,'CAPEX - Manutenção_Pátio'!$A$3:$C$22,3,FALSE)+VLOOKUP($A5,'CAPEX - Navegação Aérea'!$A$3:$H$22,8,FALSE)</f>
        <v>13446687.286666667</v>
      </c>
      <c r="I5" s="1">
        <f>(VLOOKUP($A5,'BASE PAN - CAPEX'!$A$3:$I$22,9,FALSE)/3)+VLOOKUP($A5,'CAPEX - Manut._Desemborracham.'!$A$3:$C$54,3,FALSE)</f>
        <v>5041666.666666667</v>
      </c>
      <c r="J5" s="1">
        <f>(VLOOKUP($A5,'BASE PAN - CAPEX'!$A$3:$I$22,9,FALSE)/3)</f>
        <v>5041666.666666667</v>
      </c>
      <c r="K5" s="1">
        <f>VLOOKUP($A5,'CAPEX - Manut._Desemborracham.'!$A$3:$D$54,4,FALSE)</f>
        <v>0</v>
      </c>
      <c r="L5" s="1">
        <f>VLOOKUP($A5,'CAPEX - Manutenção_PPD'!$A$3:$D$22,4,FALSE)+VLOOKUP($A5,'CAPEX - Manutenção_PTR_Taxiway'!$A$3:$D$22,4,FALSE)+VLOOKUP($A5,'CAPEX - Manutenção_Pátio'!$A$3:$D$22,4,FALSE)</f>
        <v>197174.36000000002</v>
      </c>
      <c r="M5" s="1">
        <f>VLOOKUP($A5,'CAPEX - Manut._Desemborracham.'!$A$3:$E$54,5,FALSE)</f>
        <v>0</v>
      </c>
      <c r="N5" s="1">
        <v>0</v>
      </c>
      <c r="O5" s="1">
        <f>VLOOKUP($A5,'CAPEX - Manutenção_PPD'!$A$3:$E$22,5,FALSE)+VLOOKUP($A5,'CAPEX - Manutenção_PTR_Taxiway'!$A$3:$E$22,5,FALSE)+VLOOKUP($A5,'CAPEX - Manutenção_Pátio'!$A$3:$E$22,5,FALSE)+VLOOKUP($A5,'CAPEX - Manut._Desemborracham.'!$A$3:$F$54,6,FALSE)</f>
        <v>197174.36000000002</v>
      </c>
      <c r="P5" s="1">
        <v>0</v>
      </c>
      <c r="Q5" s="1">
        <f>VLOOKUP($A5,'CAPEX - Manutenção_PPD'!$A$3:$F$22,6,FALSE)+VLOOKUP($A5,'CAPEX - Manutenção_PTR_Taxiway'!$A$3:$F$22,6,FALSE)+VLOOKUP($A5,'CAPEX - Manutenção_Pátio'!$A$3:$F$22,6,FALSE)+VLOOKUP($A5,'CAPEX - Manut._Desemborracham.'!$A$3:$G$54,7,FALSE)</f>
        <v>7571378.1800000006</v>
      </c>
      <c r="R5" s="1">
        <v>0</v>
      </c>
      <c r="S5" s="1">
        <f>VLOOKUP($A5,'CAPEX - Manut._Desemborracham.'!$A$3:$H$54,8,FALSE)</f>
        <v>0</v>
      </c>
      <c r="T5" s="1">
        <v>0</v>
      </c>
      <c r="U5" s="1">
        <f>VLOOKUP($A5,'CAPEX - Manut._Desemborracham.'!$A$3:$I$54,9,FALSE)</f>
        <v>0</v>
      </c>
      <c r="V5" s="1">
        <f>VLOOKUP($A5,'CAPEX - Manutenção_PPD'!$A$3:$G$22,7,FALSE)+VLOOKUP($A5,'CAPEX - Manutenção_PTR_Taxiway'!$A$3:$G$22,7,FALSE)+VLOOKUP($A5,'CAPEX - Manutenção_Pátio'!$A$3:$G$22,7,FALSE)</f>
        <v>5421309.0199999996</v>
      </c>
      <c r="W5" s="1">
        <f>VLOOKUP($A5,'CAPEX - Manut._Desemborracham.'!$A$3:$J$54,10,FALSE)</f>
        <v>0</v>
      </c>
      <c r="X5" s="1">
        <v>0</v>
      </c>
      <c r="Y5" s="1">
        <f>VLOOKUP($A5,'CAPEX - Manutenção_PPD'!$A$3:$H$22,8,FALSE)+VLOOKUP($A5,'CAPEX - Manutenção_PTR_Taxiway'!$A$3:$H$22,8,FALSE)+VLOOKUP($A5,'CAPEX - Manutenção_Pátio'!$A$3:$H$22,8,FALSE)+VLOOKUP($A5,'CAPEX - Manut._Desemborracham.'!$A$3:$K$54,11,FALSE)</f>
        <v>197174.36000000002</v>
      </c>
      <c r="Z5" s="1">
        <v>0</v>
      </c>
      <c r="AA5" s="1">
        <f>VLOOKUP($A5,'CAPEX - Manutenção_PPD'!$A$3:$I$22,9,FALSE)+VLOOKUP($A5,'CAPEX - Manutenção_PTR_Taxiway'!$A$3:$I$22,9,FALSE)+VLOOKUP($A5,'CAPEX - Manutenção_Pátio'!$A$3:$I$22,9,FALSE)+VLOOKUP($A5,'CAPEX - Manut._Desemborracham.'!$A$3:$L$54,12,FALSE)</f>
        <v>7571378.1800000006</v>
      </c>
      <c r="AB5" s="1">
        <v>0</v>
      </c>
      <c r="AC5" s="1">
        <f>VLOOKUP($A5,'CAPEX - Manut._Desemborracham.'!$A$3:$M$54,13,FALSE)</f>
        <v>0</v>
      </c>
      <c r="AD5" s="1">
        <v>0</v>
      </c>
      <c r="AE5" s="1">
        <f>VLOOKUP($A5,'CAPEX - Manut._Desemborracham.'!$A$3:$N$54,14,FALSE)</f>
        <v>0</v>
      </c>
      <c r="AF5" s="1">
        <f>VLOOKUP($A5,'CAPEX - Manutenção_PPD'!$A$3:$J$22,10,FALSE)+VLOOKUP($A5,'CAPEX - Manutenção_PTR_Taxiway'!$A$3:$J$22,10,FALSE)+VLOOKUP($A5,'CAPEX - Manutenção_Pátio'!$A$3:$J$22,10,FALSE)</f>
        <v>197174.36000000002</v>
      </c>
      <c r="AG5" s="1">
        <f>VLOOKUP($A5,'CAPEX - Manut._Desemborracham.'!$A$3:$O$54,15,FALSE)</f>
        <v>0</v>
      </c>
      <c r="AH5" s="1">
        <v>0</v>
      </c>
      <c r="AI5" s="1">
        <f>VLOOKUP($A5,'CAPEX - Manutenção_PPD'!$A$3:$K$22,11,FALSE)+VLOOKUP($A5,'CAPEX - Manutenção_PTR_Taxiway'!$A$3:$K$22,11,FALSE)+VLOOKUP($A5,'CAPEX - Manutenção_Pátio'!$A$3:$K$22,11,FALSE)+VLOOKUP($A5,'CAPEX - Manut._Desemborracham.'!$A$3:$P$54,16,FALSE)</f>
        <v>197174.36000000002</v>
      </c>
      <c r="AJ5" s="1">
        <v>0</v>
      </c>
      <c r="AK5" s="1">
        <f>VLOOKUP($A5,'CAPEX - Manut._Desemborracham.'!$A$3:$Q$54,17,FALSE)</f>
        <v>0</v>
      </c>
      <c r="AL5" s="1">
        <v>0</v>
      </c>
      <c r="AM5" s="1">
        <f t="shared" si="0"/>
        <v>45079957.799999997</v>
      </c>
      <c r="AN5" t="str">
        <f>VLOOKUP(C5,'[11]CAPEX - BLOCOS PAN'!$C$3:$AN$249,38,FALSE)</f>
        <v>N</v>
      </c>
      <c r="AO5" s="3">
        <v>0</v>
      </c>
      <c r="AP5" s="3" t="s">
        <v>97</v>
      </c>
      <c r="AQ5" s="3" t="s">
        <v>97</v>
      </c>
      <c r="AR5" s="3">
        <v>2026</v>
      </c>
      <c r="AS5" s="3" t="s">
        <v>97</v>
      </c>
      <c r="AT5" s="3" t="s">
        <v>97</v>
      </c>
      <c r="AU5" s="3">
        <v>1</v>
      </c>
      <c r="AV5" s="3">
        <f>VLOOKUP($A5,'BASE PAN - CAPEX'!$A$3:$H$22,8,FALSE)</f>
        <v>1</v>
      </c>
    </row>
    <row r="6" spans="1:48" x14ac:dyDescent="0.25">
      <c r="A6" t="s">
        <v>47</v>
      </c>
      <c r="B6" t="s">
        <v>48</v>
      </c>
      <c r="C6" t="s">
        <v>49</v>
      </c>
      <c r="D6" t="s">
        <v>48</v>
      </c>
      <c r="E6" t="s">
        <v>30</v>
      </c>
      <c r="F6" t="s">
        <v>28</v>
      </c>
      <c r="G6" t="s">
        <v>29</v>
      </c>
      <c r="H6" s="1">
        <f>(VLOOKUP($A6,'BASE PAN - CAPEX'!$A$3:$I$22,9,FALSE)/3)+VLOOKUP($A6,'CAPEX - Manutenção_PPD'!$A$3:$C$22,3,FALSE)+VLOOKUP($A6,'CAPEX - Manutenção_PTR_Taxiway'!$A$3:$C$22,3,FALSE)+VLOOKUP($A6,'CAPEX - Manutenção_Pátio'!$A$3:$C$22,3,FALSE)+VLOOKUP($A6,'CAPEX - Navegação Aérea'!$A$3:$H$22,8,FALSE)</f>
        <v>20604443.670000002</v>
      </c>
      <c r="I6" s="1">
        <f>(VLOOKUP($A6,'BASE PAN - CAPEX'!$A$3:$I$22,9,FALSE)/3)+VLOOKUP($A6,'CAPEX - Manut._Desemborracham.'!$A$3:$C$54,3,FALSE)</f>
        <v>19704085.216523759</v>
      </c>
      <c r="J6" s="1">
        <f>(VLOOKUP($A6,'BASE PAN - CAPEX'!$A$3:$I$22,9,FALSE)/3)</f>
        <v>19605000</v>
      </c>
      <c r="K6" s="1">
        <f>VLOOKUP($A6,'CAPEX - Manut._Desemborracham.'!$A$3:$D$54,4,FALSE)</f>
        <v>99085.216523757219</v>
      </c>
      <c r="L6" s="1">
        <f>VLOOKUP($A6,'CAPEX - Manutenção_PPD'!$A$3:$D$22,4,FALSE)+VLOOKUP($A6,'CAPEX - Manutenção_PTR_Taxiway'!$A$3:$D$22,4,FALSE)+VLOOKUP($A6,'CAPEX - Manutenção_Pátio'!$A$3:$D$22,4,FALSE)</f>
        <v>220914.91999999998</v>
      </c>
      <c r="M6" s="1">
        <f>VLOOKUP($A6,'CAPEX - Manut._Desemborracham.'!$A$3:$E$54,5,FALSE)</f>
        <v>99085.216523757219</v>
      </c>
      <c r="N6" s="1">
        <v>0</v>
      </c>
      <c r="O6" s="1">
        <f>VLOOKUP($A6,'CAPEX - Manutenção_PPD'!$A$3:$E$22,5,FALSE)+VLOOKUP($A6,'CAPEX - Manutenção_PTR_Taxiway'!$A$3:$E$22,5,FALSE)+VLOOKUP($A6,'CAPEX - Manutenção_Pátio'!$A$3:$E$22,5,FALSE)+VLOOKUP($A6,'CAPEX - Manut._Desemborracham.'!$A$3:$F$54,6,FALSE)</f>
        <v>320000.13652375719</v>
      </c>
      <c r="P6" s="1">
        <v>0</v>
      </c>
      <c r="Q6" s="1">
        <f>VLOOKUP($A6,'CAPEX - Manutenção_PPD'!$A$3:$F$22,6,FALSE)+VLOOKUP($A6,'CAPEX - Manutenção_PTR_Taxiway'!$A$3:$F$22,6,FALSE)+VLOOKUP($A6,'CAPEX - Manutenção_Pátio'!$A$3:$F$22,6,FALSE)+VLOOKUP($A6,'CAPEX - Manut._Desemborracham.'!$A$3:$G$54,7,FALSE)</f>
        <v>9069495.9465237577</v>
      </c>
      <c r="R6" s="1">
        <v>0</v>
      </c>
      <c r="S6" s="1">
        <f>VLOOKUP($A6,'CAPEX - Manut._Desemborracham.'!$A$3:$H$54,8,FALSE)</f>
        <v>99085.216523757219</v>
      </c>
      <c r="T6" s="1">
        <v>0</v>
      </c>
      <c r="U6" s="1">
        <f>VLOOKUP($A6,'CAPEX - Manut._Desemborracham.'!$A$3:$I$54,9,FALSE)</f>
        <v>99085.216523757219</v>
      </c>
      <c r="V6" s="1">
        <f>VLOOKUP($A6,'CAPEX - Manutenção_PPD'!$A$3:$G$22,7,FALSE)+VLOOKUP($A6,'CAPEX - Manutenção_PTR_Taxiway'!$A$3:$G$22,7,FALSE)+VLOOKUP($A6,'CAPEX - Manutenção_Pátio'!$A$3:$G$22,7,FALSE)</f>
        <v>5407129.9800000004</v>
      </c>
      <c r="W6" s="1">
        <f>VLOOKUP($A6,'CAPEX - Manut._Desemborracham.'!$A$3:$J$54,10,FALSE)</f>
        <v>99085.216523757219</v>
      </c>
      <c r="X6" s="1">
        <v>0</v>
      </c>
      <c r="Y6" s="1">
        <f>VLOOKUP($A6,'CAPEX - Manutenção_PPD'!$A$3:$H$22,8,FALSE)+VLOOKUP($A6,'CAPEX - Manutenção_PTR_Taxiway'!$A$3:$H$22,8,FALSE)+VLOOKUP($A6,'CAPEX - Manutenção_Pátio'!$A$3:$H$22,8,FALSE)+VLOOKUP($A6,'CAPEX - Manut._Desemborracham.'!$A$3:$K$54,11,FALSE)</f>
        <v>320000.13652375719</v>
      </c>
      <c r="Z6" s="1">
        <v>0</v>
      </c>
      <c r="AA6" s="1">
        <f>VLOOKUP($A6,'CAPEX - Manutenção_PPD'!$A$3:$I$22,9,FALSE)+VLOOKUP($A6,'CAPEX - Manutenção_PTR_Taxiway'!$A$3:$I$22,9,FALSE)+VLOOKUP($A6,'CAPEX - Manutenção_Pátio'!$A$3:$I$22,9,FALSE)+VLOOKUP($A6,'CAPEX - Manut._Desemborracham.'!$A$3:$L$54,12,FALSE)</f>
        <v>9069495.9465237577</v>
      </c>
      <c r="AB6" s="1">
        <v>0</v>
      </c>
      <c r="AC6" s="1">
        <f>VLOOKUP($A6,'CAPEX - Manut._Desemborracham.'!$A$3:$M$54,13,FALSE)</f>
        <v>99085.216523757219</v>
      </c>
      <c r="AD6" s="1">
        <v>0</v>
      </c>
      <c r="AE6" s="1">
        <f>VLOOKUP($A6,'CAPEX - Manut._Desemborracham.'!$A$3:$N$54,14,FALSE)</f>
        <v>99085.216523757219</v>
      </c>
      <c r="AF6" s="1">
        <f>VLOOKUP($A6,'CAPEX - Manutenção_PPD'!$A$3:$J$22,10,FALSE)+VLOOKUP($A6,'CAPEX - Manutenção_PTR_Taxiway'!$A$3:$J$22,10,FALSE)+VLOOKUP($A6,'CAPEX - Manutenção_Pátio'!$A$3:$J$22,10,FALSE)</f>
        <v>220914.91999999998</v>
      </c>
      <c r="AG6" s="1">
        <f>VLOOKUP($A6,'CAPEX - Manut._Desemborracham.'!$A$3:$O$54,15,FALSE)</f>
        <v>99085.216523757219</v>
      </c>
      <c r="AH6" s="1">
        <v>0</v>
      </c>
      <c r="AI6" s="1">
        <f>VLOOKUP($A6,'CAPEX - Manutenção_PPD'!$A$3:$K$22,11,FALSE)+VLOOKUP($A6,'CAPEX - Manutenção_PTR_Taxiway'!$A$3:$K$22,11,FALSE)+VLOOKUP($A6,'CAPEX - Manutenção_Pátio'!$A$3:$K$22,11,FALSE)+VLOOKUP($A6,'CAPEX - Manut._Desemborracham.'!$A$3:$P$54,16,FALSE)</f>
        <v>320000.13652375719</v>
      </c>
      <c r="AJ6" s="1">
        <v>0</v>
      </c>
      <c r="AK6" s="1">
        <f>VLOOKUP($A6,'CAPEX - Manut._Desemborracham.'!$A$3:$Q$54,17,FALSE)</f>
        <v>99085.216523757219</v>
      </c>
      <c r="AL6" s="1">
        <v>0</v>
      </c>
      <c r="AM6" s="1">
        <f t="shared" si="0"/>
        <v>85753247.957856327</v>
      </c>
      <c r="AN6" t="str">
        <f>VLOOKUP(C6,'[11]CAPEX - BLOCOS PAN'!$C$3:$AN$249,38,FALSE)</f>
        <v>N</v>
      </c>
      <c r="AO6" s="3">
        <v>3</v>
      </c>
      <c r="AP6" s="3" t="s">
        <v>97</v>
      </c>
      <c r="AQ6" s="3" t="s">
        <v>97</v>
      </c>
      <c r="AR6" s="3" t="s">
        <v>97</v>
      </c>
      <c r="AS6" s="3" t="s">
        <v>97</v>
      </c>
      <c r="AT6" s="3" t="s">
        <v>97</v>
      </c>
      <c r="AU6" s="3" t="s">
        <v>97</v>
      </c>
      <c r="AV6" s="3">
        <f>VLOOKUP($A6,'BASE PAN - CAPEX'!$A$3:$H$22,8,FALSE)</f>
        <v>3</v>
      </c>
    </row>
    <row r="7" spans="1:48" x14ac:dyDescent="0.25">
      <c r="A7" t="s">
        <v>50</v>
      </c>
      <c r="B7" t="s">
        <v>51</v>
      </c>
      <c r="C7" t="s">
        <v>52</v>
      </c>
      <c r="D7" t="s">
        <v>51</v>
      </c>
      <c r="E7" t="s">
        <v>35</v>
      </c>
      <c r="F7" t="s">
        <v>28</v>
      </c>
      <c r="G7" t="s">
        <v>29</v>
      </c>
      <c r="H7" s="1">
        <f>(VLOOKUP($A7,'BASE PAN - CAPEX'!$A$3:$I$22,9,FALSE)/3)+VLOOKUP($A7,'CAPEX - Manutenção_PPD'!$A$3:$C$22,3,FALSE)+VLOOKUP($A7,'CAPEX - Manutenção_PTR_Taxiway'!$A$3:$C$22,3,FALSE)+VLOOKUP($A7,'CAPEX - Manutenção_Pátio'!$A$3:$C$22,3,FALSE)+VLOOKUP($A7,'CAPEX - Navegação Aérea'!$A$3:$H$22,8,FALSE)</f>
        <v>11737777.003333334</v>
      </c>
      <c r="I7" s="1">
        <f>(VLOOKUP($A7,'BASE PAN - CAPEX'!$A$3:$I$22,9,FALSE)/3)+VLOOKUP($A7,'CAPEX - Manut._Desemborracham.'!$A$3:$C$54,3,FALSE)</f>
        <v>10738333.333333334</v>
      </c>
      <c r="J7" s="1">
        <f>(VLOOKUP($A7,'BASE PAN - CAPEX'!$A$3:$I$22,9,FALSE)/3)</f>
        <v>10738333.333333334</v>
      </c>
      <c r="K7" s="1">
        <f>VLOOKUP($A7,'CAPEX - Manut._Desemborracham.'!$A$3:$D$54,4,FALSE)</f>
        <v>0</v>
      </c>
      <c r="L7" s="1">
        <f>VLOOKUP($A7,'CAPEX - Manutenção_PPD'!$A$3:$D$22,4,FALSE)+VLOOKUP($A7,'CAPEX - Manutenção_PTR_Taxiway'!$A$3:$D$22,4,FALSE)+VLOOKUP($A7,'CAPEX - Manutenção_Pátio'!$A$3:$D$22,4,FALSE)</f>
        <v>180113.9</v>
      </c>
      <c r="M7" s="1">
        <f>VLOOKUP($A7,'CAPEX - Manut._Desemborracham.'!$A$3:$E$54,5,FALSE)</f>
        <v>0</v>
      </c>
      <c r="N7" s="1">
        <v>0</v>
      </c>
      <c r="O7" s="1">
        <f>VLOOKUP($A7,'CAPEX - Manutenção_PPD'!$A$3:$E$22,5,FALSE)+VLOOKUP($A7,'CAPEX - Manutenção_PTR_Taxiway'!$A$3:$E$22,5,FALSE)+VLOOKUP($A7,'CAPEX - Manutenção_Pátio'!$A$3:$E$22,5,FALSE)+VLOOKUP($A7,'CAPEX - Manut._Desemborracham.'!$A$3:$F$54,6,FALSE)</f>
        <v>180113.9</v>
      </c>
      <c r="P7" s="1">
        <v>0</v>
      </c>
      <c r="Q7" s="1">
        <f>VLOOKUP($A7,'CAPEX - Manutenção_PPD'!$A$3:$F$22,6,FALSE)+VLOOKUP($A7,'CAPEX - Manutenção_PTR_Taxiway'!$A$3:$F$22,6,FALSE)+VLOOKUP($A7,'CAPEX - Manutenção_Pátio'!$A$3:$F$22,6,FALSE)+VLOOKUP($A7,'CAPEX - Manut._Desemborracham.'!$A$3:$G$54,7,FALSE)</f>
        <v>6208416.25</v>
      </c>
      <c r="R7" s="1">
        <v>0</v>
      </c>
      <c r="S7" s="1">
        <f>VLOOKUP($A7,'CAPEX - Manut._Desemborracham.'!$A$3:$H$54,8,FALSE)</f>
        <v>0</v>
      </c>
      <c r="T7" s="1">
        <v>0</v>
      </c>
      <c r="U7" s="1">
        <f>VLOOKUP($A7,'CAPEX - Manut._Desemborracham.'!$A$3:$I$54,9,FALSE)</f>
        <v>0</v>
      </c>
      <c r="V7" s="1">
        <f>VLOOKUP($A7,'CAPEX - Manutenção_PPD'!$A$3:$G$22,7,FALSE)+VLOOKUP($A7,'CAPEX - Manutenção_PTR_Taxiway'!$A$3:$G$22,7,FALSE)+VLOOKUP($A7,'CAPEX - Manutenção_Pátio'!$A$3:$G$22,7,FALSE)</f>
        <v>6887729.2200000007</v>
      </c>
      <c r="W7" s="1">
        <f>VLOOKUP($A7,'CAPEX - Manut._Desemborracham.'!$A$3:$J$54,10,FALSE)</f>
        <v>0</v>
      </c>
      <c r="X7" s="1">
        <v>0</v>
      </c>
      <c r="Y7" s="1">
        <f>VLOOKUP($A7,'CAPEX - Manutenção_PPD'!$A$3:$H$22,8,FALSE)+VLOOKUP($A7,'CAPEX - Manutenção_PTR_Taxiway'!$A$3:$H$22,8,FALSE)+VLOOKUP($A7,'CAPEX - Manutenção_Pátio'!$A$3:$H$22,8,FALSE)+VLOOKUP($A7,'CAPEX - Manut._Desemborracham.'!$A$3:$K$54,11,FALSE)</f>
        <v>180113.9</v>
      </c>
      <c r="Z7" s="1">
        <v>0</v>
      </c>
      <c r="AA7" s="1">
        <f>VLOOKUP($A7,'CAPEX - Manutenção_PPD'!$A$3:$I$22,9,FALSE)+VLOOKUP($A7,'CAPEX - Manutenção_PTR_Taxiway'!$A$3:$I$22,9,FALSE)+VLOOKUP($A7,'CAPEX - Manutenção_Pátio'!$A$3:$I$22,9,FALSE)+VLOOKUP($A7,'CAPEX - Manut._Desemborracham.'!$A$3:$L$54,12,FALSE)</f>
        <v>6208416.25</v>
      </c>
      <c r="AB7" s="1">
        <v>0</v>
      </c>
      <c r="AC7" s="1">
        <f>VLOOKUP($A7,'CAPEX - Manut._Desemborracham.'!$A$3:$M$54,13,FALSE)</f>
        <v>0</v>
      </c>
      <c r="AD7" s="1">
        <v>0</v>
      </c>
      <c r="AE7" s="1">
        <f>VLOOKUP($A7,'CAPEX - Manut._Desemborracham.'!$A$3:$N$54,14,FALSE)</f>
        <v>0</v>
      </c>
      <c r="AF7" s="1">
        <f>VLOOKUP($A7,'CAPEX - Manutenção_PPD'!$A$3:$J$22,10,FALSE)+VLOOKUP($A7,'CAPEX - Manutenção_PTR_Taxiway'!$A$3:$J$22,10,FALSE)+VLOOKUP($A7,'CAPEX - Manutenção_Pátio'!$A$3:$J$22,10,FALSE)</f>
        <v>180113.9</v>
      </c>
      <c r="AG7" s="1">
        <f>VLOOKUP($A7,'CAPEX - Manut._Desemborracham.'!$A$3:$O$54,15,FALSE)</f>
        <v>0</v>
      </c>
      <c r="AH7" s="1">
        <v>0</v>
      </c>
      <c r="AI7" s="1">
        <f>VLOOKUP($A7,'CAPEX - Manutenção_PPD'!$A$3:$K$22,11,FALSE)+VLOOKUP($A7,'CAPEX - Manutenção_PTR_Taxiway'!$A$3:$K$22,11,FALSE)+VLOOKUP($A7,'CAPEX - Manutenção_Pátio'!$A$3:$K$22,11,FALSE)+VLOOKUP($A7,'CAPEX - Manut._Desemborracham.'!$A$3:$P$54,16,FALSE)</f>
        <v>180113.9</v>
      </c>
      <c r="AJ7" s="1">
        <v>0</v>
      </c>
      <c r="AK7" s="1">
        <f>VLOOKUP($A7,'CAPEX - Manut._Desemborracham.'!$A$3:$Q$54,17,FALSE)</f>
        <v>0</v>
      </c>
      <c r="AL7" s="1">
        <v>0</v>
      </c>
      <c r="AM7" s="1">
        <f t="shared" si="0"/>
        <v>53419574.889999993</v>
      </c>
      <c r="AN7" t="str">
        <f>VLOOKUP(C7,'[11]CAPEX - BLOCOS PAN'!$C$3:$AN$249,38,FALSE)</f>
        <v>N</v>
      </c>
      <c r="AO7" s="3">
        <v>1</v>
      </c>
      <c r="AP7" s="3" t="s">
        <v>97</v>
      </c>
      <c r="AQ7" s="3" t="s">
        <v>97</v>
      </c>
      <c r="AR7" s="3" t="s">
        <v>97</v>
      </c>
      <c r="AS7" s="3" t="s">
        <v>97</v>
      </c>
      <c r="AT7" s="3" t="s">
        <v>97</v>
      </c>
      <c r="AU7" s="3" t="s">
        <v>97</v>
      </c>
      <c r="AV7" s="3">
        <f>VLOOKUP($A7,'BASE PAN - CAPEX'!$A$3:$H$22,8,FALSE)</f>
        <v>1</v>
      </c>
    </row>
    <row r="8" spans="1:48" x14ac:dyDescent="0.25">
      <c r="A8" t="s">
        <v>53</v>
      </c>
      <c r="B8" t="s">
        <v>54</v>
      </c>
      <c r="C8" t="s">
        <v>55</v>
      </c>
      <c r="D8" t="s">
        <v>54</v>
      </c>
      <c r="E8" t="s">
        <v>34</v>
      </c>
      <c r="F8" t="s">
        <v>28</v>
      </c>
      <c r="G8" t="s">
        <v>29</v>
      </c>
      <c r="H8" s="1">
        <f>(VLOOKUP($A8,'BASE PAN - CAPEX'!$A$3:$I$22,9,FALSE)/3)+VLOOKUP($A8,'CAPEX - Manutenção_PPD'!$A$3:$C$22,3,FALSE)+VLOOKUP($A8,'CAPEX - Manutenção_PTR_Taxiway'!$A$3:$C$22,3,FALSE)+VLOOKUP($A8,'CAPEX - Manutenção_Pátio'!$A$3:$C$22,3,FALSE)+VLOOKUP($A8,'CAPEX - Navegação Aérea'!$A$3:$H$22,8,FALSE)</f>
        <v>16458333.333333334</v>
      </c>
      <c r="I8" s="1">
        <f>(VLOOKUP($A8,'BASE PAN - CAPEX'!$A$3:$I$22,9,FALSE)/3)+VLOOKUP($A8,'CAPEX - Manut._Desemborracham.'!$A$3:$C$54,3,FALSE)</f>
        <v>16516089.847021485</v>
      </c>
      <c r="J8" s="1">
        <f>(VLOOKUP($A8,'BASE PAN - CAPEX'!$A$3:$I$22,9,FALSE)/3)</f>
        <v>16458333.333333334</v>
      </c>
      <c r="K8" s="1">
        <f>VLOOKUP($A8,'CAPEX - Manut._Desemborracham.'!$A$3:$D$54,4,FALSE)</f>
        <v>57756.513688150284</v>
      </c>
      <c r="L8" s="1">
        <f>VLOOKUP($A8,'CAPEX - Manutenção_PPD'!$A$3:$D$22,4,FALSE)+VLOOKUP($A8,'CAPEX - Manutenção_PTR_Taxiway'!$A$3:$D$22,4,FALSE)+VLOOKUP($A8,'CAPEX - Manutenção_Pátio'!$A$3:$D$22,4,FALSE)</f>
        <v>194684.31</v>
      </c>
      <c r="M8" s="1">
        <f>VLOOKUP($A8,'CAPEX - Manut._Desemborracham.'!$A$3:$E$54,5,FALSE)</f>
        <v>57756.513688150284</v>
      </c>
      <c r="N8" s="1">
        <v>0</v>
      </c>
      <c r="O8" s="1">
        <f>VLOOKUP($A8,'CAPEX - Manutenção_PPD'!$A$3:$E$22,5,FALSE)+VLOOKUP($A8,'CAPEX - Manutenção_PTR_Taxiway'!$A$3:$E$22,5,FALSE)+VLOOKUP($A8,'CAPEX - Manutenção_Pátio'!$A$3:$E$22,5,FALSE)+VLOOKUP($A8,'CAPEX - Manut._Desemborracham.'!$A$3:$F$54,6,FALSE)</f>
        <v>252440.82368815027</v>
      </c>
      <c r="P8" s="1">
        <v>0</v>
      </c>
      <c r="Q8" s="1">
        <f>VLOOKUP($A8,'CAPEX - Manutenção_PPD'!$A$3:$F$22,6,FALSE)+VLOOKUP($A8,'CAPEX - Manutenção_PTR_Taxiway'!$A$3:$F$22,6,FALSE)+VLOOKUP($A8,'CAPEX - Manutenção_Pátio'!$A$3:$F$22,6,FALSE)+VLOOKUP($A8,'CAPEX - Manut._Desemborracham.'!$A$3:$G$54,7,FALSE)</f>
        <v>9916710.1936881486</v>
      </c>
      <c r="R8" s="1">
        <v>0</v>
      </c>
      <c r="S8" s="1">
        <f>VLOOKUP($A8,'CAPEX - Manut._Desemborracham.'!$A$3:$H$54,8,FALSE)</f>
        <v>57756.513688150284</v>
      </c>
      <c r="T8" s="1">
        <v>0</v>
      </c>
      <c r="U8" s="1">
        <f>VLOOKUP($A8,'CAPEX - Manut._Desemborracham.'!$A$3:$I$54,9,FALSE)</f>
        <v>57756.513688150284</v>
      </c>
      <c r="V8" s="1">
        <f>VLOOKUP($A8,'CAPEX - Manutenção_PPD'!$A$3:$G$22,7,FALSE)+VLOOKUP($A8,'CAPEX - Manutenção_PTR_Taxiway'!$A$3:$G$22,7,FALSE)+VLOOKUP($A8,'CAPEX - Manutenção_Pátio'!$A$3:$G$22,7,FALSE)</f>
        <v>5730962.6100000003</v>
      </c>
      <c r="W8" s="1">
        <f>VLOOKUP($A8,'CAPEX - Manut._Desemborracham.'!$A$3:$J$54,10,FALSE)</f>
        <v>57756.513688150284</v>
      </c>
      <c r="X8" s="1">
        <v>0</v>
      </c>
      <c r="Y8" s="1">
        <f>VLOOKUP($A8,'CAPEX - Manutenção_PPD'!$A$3:$H$22,8,FALSE)+VLOOKUP($A8,'CAPEX - Manutenção_PTR_Taxiway'!$A$3:$H$22,8,FALSE)+VLOOKUP($A8,'CAPEX - Manutenção_Pátio'!$A$3:$H$22,8,FALSE)+VLOOKUP($A8,'CAPEX - Manut._Desemborracham.'!$A$3:$K$54,11,FALSE)</f>
        <v>252440.82368815027</v>
      </c>
      <c r="Z8" s="1">
        <v>0</v>
      </c>
      <c r="AA8" s="1">
        <f>VLOOKUP($A8,'CAPEX - Manutenção_PPD'!$A$3:$I$22,9,FALSE)+VLOOKUP($A8,'CAPEX - Manutenção_PTR_Taxiway'!$A$3:$I$22,9,FALSE)+VLOOKUP($A8,'CAPEX - Manutenção_Pátio'!$A$3:$I$22,9,FALSE)+VLOOKUP($A8,'CAPEX - Manut._Desemborracham.'!$A$3:$L$54,12,FALSE)</f>
        <v>9916710.1936881486</v>
      </c>
      <c r="AB8" s="1">
        <v>0</v>
      </c>
      <c r="AC8" s="1">
        <f>VLOOKUP($A8,'CAPEX - Manut._Desemborracham.'!$A$3:$M$54,13,FALSE)</f>
        <v>57756.513688150284</v>
      </c>
      <c r="AD8" s="1">
        <v>0</v>
      </c>
      <c r="AE8" s="1">
        <f>VLOOKUP($A8,'CAPEX - Manut._Desemborracham.'!$A$3:$N$54,14,FALSE)</f>
        <v>57756.513688150284</v>
      </c>
      <c r="AF8" s="1">
        <f>VLOOKUP($A8,'CAPEX - Manutenção_PPD'!$A$3:$J$22,10,FALSE)+VLOOKUP($A8,'CAPEX - Manutenção_PTR_Taxiway'!$A$3:$J$22,10,FALSE)+VLOOKUP($A8,'CAPEX - Manutenção_Pátio'!$A$3:$J$22,10,FALSE)</f>
        <v>194684.31</v>
      </c>
      <c r="AG8" s="1">
        <f>VLOOKUP($A8,'CAPEX - Manut._Desemborracham.'!$A$3:$O$54,15,FALSE)</f>
        <v>57756.513688150284</v>
      </c>
      <c r="AH8" s="1">
        <v>0</v>
      </c>
      <c r="AI8" s="1">
        <f>VLOOKUP($A8,'CAPEX - Manutenção_PPD'!$A$3:$K$22,11,FALSE)+VLOOKUP($A8,'CAPEX - Manutenção_PTR_Taxiway'!$A$3:$K$22,11,FALSE)+VLOOKUP($A8,'CAPEX - Manutenção_Pátio'!$A$3:$K$22,11,FALSE)+VLOOKUP($A8,'CAPEX - Manut._Desemborracham.'!$A$3:$P$54,16,FALSE)</f>
        <v>252440.82368815027</v>
      </c>
      <c r="AJ8" s="1">
        <v>0</v>
      </c>
      <c r="AK8" s="1">
        <f>VLOOKUP($A8,'CAPEX - Manut._Desemborracham.'!$A$3:$Q$54,17,FALSE)</f>
        <v>57756.513688150284</v>
      </c>
      <c r="AL8" s="1">
        <v>0</v>
      </c>
      <c r="AM8" s="1">
        <f t="shared" si="0"/>
        <v>76663639.225322232</v>
      </c>
      <c r="AN8" t="str">
        <f>VLOOKUP(C8,'[11]CAPEX - BLOCOS PAN'!$C$3:$AN$249,38,FALSE)</f>
        <v>NE e CO</v>
      </c>
      <c r="AO8" s="3">
        <v>1</v>
      </c>
      <c r="AP8" s="3" t="s">
        <v>97</v>
      </c>
      <c r="AQ8" s="3">
        <v>2048</v>
      </c>
      <c r="AR8" s="3">
        <v>2032</v>
      </c>
      <c r="AS8" s="3" t="s">
        <v>97</v>
      </c>
      <c r="AT8" s="3">
        <v>3</v>
      </c>
      <c r="AU8" s="3">
        <v>2</v>
      </c>
      <c r="AV8" s="3">
        <f>VLOOKUP($A8,'BASE PAN - CAPEX'!$A$3:$H$22,8,FALSE)</f>
        <v>3</v>
      </c>
    </row>
    <row r="9" spans="1:48" x14ac:dyDescent="0.25">
      <c r="A9" t="s">
        <v>56</v>
      </c>
      <c r="B9" t="s">
        <v>57</v>
      </c>
      <c r="C9" t="s">
        <v>58</v>
      </c>
      <c r="D9" t="s">
        <v>57</v>
      </c>
      <c r="E9" t="s">
        <v>25</v>
      </c>
      <c r="F9" t="s">
        <v>28</v>
      </c>
      <c r="G9" t="s">
        <v>29</v>
      </c>
      <c r="H9" s="1">
        <f>(VLOOKUP($A9,'BASE PAN - CAPEX'!$A$3:$I$22,9,FALSE)/3)+VLOOKUP($A9,'CAPEX - Manutenção_PPD'!$A$3:$C$22,3,FALSE)+VLOOKUP($A9,'CAPEX - Manutenção_PTR_Taxiway'!$A$3:$C$22,3,FALSE)+VLOOKUP($A9,'CAPEX - Manutenção_Pátio'!$A$3:$C$22,3,FALSE)+VLOOKUP($A9,'CAPEX - Navegação Aérea'!$A$3:$H$22,8,FALSE)</f>
        <v>22222316.800000001</v>
      </c>
      <c r="I9" s="1">
        <f>(VLOOKUP($A9,'BASE PAN - CAPEX'!$A$3:$I$22,9,FALSE)/3)+VLOOKUP($A9,'CAPEX - Manut._Desemborracham.'!$A$3:$C$54,3,FALSE)</f>
        <v>4750695.8372310055</v>
      </c>
      <c r="J9" s="1">
        <f>(VLOOKUP($A9,'BASE PAN - CAPEX'!$A$3:$I$22,9,FALSE)/3)</f>
        <v>4665000</v>
      </c>
      <c r="K9" s="1">
        <f>VLOOKUP($A9,'CAPEX - Manut._Desemborracham.'!$A$3:$D$54,4,FALSE)</f>
        <v>85695.837231005775</v>
      </c>
      <c r="L9" s="1">
        <f>VLOOKUP($A9,'CAPEX - Manutenção_PPD'!$A$3:$D$22,4,FALSE)+VLOOKUP($A9,'CAPEX - Manutenção_PTR_Taxiway'!$A$3:$D$22,4,FALSE)+VLOOKUP($A9,'CAPEX - Manutenção_Pátio'!$A$3:$D$22,4,FALSE)</f>
        <v>226461.74</v>
      </c>
      <c r="M9" s="1">
        <f>VLOOKUP($A9,'CAPEX - Manut._Desemborracham.'!$A$3:$E$54,5,FALSE)</f>
        <v>85695.837231005775</v>
      </c>
      <c r="N9" s="1">
        <v>0</v>
      </c>
      <c r="O9" s="1">
        <f>VLOOKUP($A9,'CAPEX - Manutenção_PPD'!$A$3:$E$22,5,FALSE)+VLOOKUP($A9,'CAPEX - Manutenção_PTR_Taxiway'!$A$3:$E$22,5,FALSE)+VLOOKUP($A9,'CAPEX - Manutenção_Pátio'!$A$3:$E$22,5,FALSE)+VLOOKUP($A9,'CAPEX - Manut._Desemborracham.'!$A$3:$F$54,6,FALSE)</f>
        <v>312157.57723100577</v>
      </c>
      <c r="P9" s="1">
        <v>0</v>
      </c>
      <c r="Q9" s="1">
        <f>VLOOKUP($A9,'CAPEX - Manutenção_PPD'!$A$3:$F$22,6,FALSE)+VLOOKUP($A9,'CAPEX - Manutenção_PTR_Taxiway'!$A$3:$F$22,6,FALSE)+VLOOKUP($A9,'CAPEX - Manutenção_Pátio'!$A$3:$F$22,6,FALSE)+VLOOKUP($A9,'CAPEX - Manut._Desemborracham.'!$A$3:$G$54,7,FALSE)</f>
        <v>11187788.127231007</v>
      </c>
      <c r="R9" s="1">
        <v>0</v>
      </c>
      <c r="S9" s="1">
        <f>VLOOKUP($A9,'CAPEX - Manut._Desemborracham.'!$A$3:$H$54,8,FALSE)</f>
        <v>85695.837231005775</v>
      </c>
      <c r="T9" s="1">
        <v>0</v>
      </c>
      <c r="U9" s="1">
        <f>VLOOKUP($A9,'CAPEX - Manut._Desemborracham.'!$A$3:$I$54,9,FALSE)</f>
        <v>85695.837231005775</v>
      </c>
      <c r="V9" s="1">
        <f>VLOOKUP($A9,'CAPEX - Manutenção_PPD'!$A$3:$G$22,7,FALSE)+VLOOKUP($A9,'CAPEX - Manutenção_PTR_Taxiway'!$A$3:$G$22,7,FALSE)+VLOOKUP($A9,'CAPEX - Manutenção_Pátio'!$A$3:$G$22,7,FALSE)</f>
        <v>7321758.5600000005</v>
      </c>
      <c r="W9" s="1">
        <f>VLOOKUP($A9,'CAPEX - Manut._Desemborracham.'!$A$3:$J$54,10,FALSE)</f>
        <v>85695.837231005775</v>
      </c>
      <c r="X9" s="1">
        <v>0</v>
      </c>
      <c r="Y9" s="1">
        <f>VLOOKUP($A9,'CAPEX - Manutenção_PPD'!$A$3:$H$22,8,FALSE)+VLOOKUP($A9,'CAPEX - Manutenção_PTR_Taxiway'!$A$3:$H$22,8,FALSE)+VLOOKUP($A9,'CAPEX - Manutenção_Pátio'!$A$3:$H$22,8,FALSE)+VLOOKUP($A9,'CAPEX - Manut._Desemborracham.'!$A$3:$K$54,11,FALSE)</f>
        <v>312157.57723100577</v>
      </c>
      <c r="Z9" s="1">
        <v>0</v>
      </c>
      <c r="AA9" s="1">
        <f>VLOOKUP($A9,'CAPEX - Manutenção_PPD'!$A$3:$I$22,9,FALSE)+VLOOKUP($A9,'CAPEX - Manutenção_PTR_Taxiway'!$A$3:$I$22,9,FALSE)+VLOOKUP($A9,'CAPEX - Manutenção_Pátio'!$A$3:$I$22,9,FALSE)+VLOOKUP($A9,'CAPEX - Manut._Desemborracham.'!$A$3:$L$54,12,FALSE)</f>
        <v>11187788.127231007</v>
      </c>
      <c r="AB9" s="1">
        <v>0</v>
      </c>
      <c r="AC9" s="1">
        <f>VLOOKUP($A9,'CAPEX - Manut._Desemborracham.'!$A$3:$M$54,13,FALSE)</f>
        <v>85695.837231005775</v>
      </c>
      <c r="AD9" s="1">
        <v>0</v>
      </c>
      <c r="AE9" s="1">
        <f>VLOOKUP($A9,'CAPEX - Manut._Desemborracham.'!$A$3:$N$54,14,FALSE)</f>
        <v>85695.837231005775</v>
      </c>
      <c r="AF9" s="1">
        <f>VLOOKUP($A9,'CAPEX - Manutenção_PPD'!$A$3:$J$22,10,FALSE)+VLOOKUP($A9,'CAPEX - Manutenção_PTR_Taxiway'!$A$3:$J$22,10,FALSE)+VLOOKUP($A9,'CAPEX - Manutenção_Pátio'!$A$3:$J$22,10,FALSE)</f>
        <v>226461.74</v>
      </c>
      <c r="AG9" s="1">
        <f>VLOOKUP($A9,'CAPEX - Manut._Desemborracham.'!$A$3:$O$54,15,FALSE)</f>
        <v>85695.837231005775</v>
      </c>
      <c r="AH9" s="1">
        <v>0</v>
      </c>
      <c r="AI9" s="1">
        <f>VLOOKUP($A9,'CAPEX - Manutenção_PPD'!$A$3:$K$22,11,FALSE)+VLOOKUP($A9,'CAPEX - Manutenção_PTR_Taxiway'!$A$3:$K$22,11,FALSE)+VLOOKUP($A9,'CAPEX - Manutenção_Pátio'!$A$3:$K$22,11,FALSE)+VLOOKUP($A9,'CAPEX - Manut._Desemborracham.'!$A$3:$P$54,16,FALSE)</f>
        <v>312157.57723100577</v>
      </c>
      <c r="AJ9" s="1">
        <v>0</v>
      </c>
      <c r="AK9" s="1">
        <f>VLOOKUP($A9,'CAPEX - Manut._Desemborracham.'!$A$3:$Q$54,17,FALSE)</f>
        <v>85695.837231005775</v>
      </c>
      <c r="AL9" s="1">
        <v>0</v>
      </c>
      <c r="AM9" s="1">
        <f t="shared" si="0"/>
        <v>63496006.198465072</v>
      </c>
      <c r="AN9" t="str">
        <f>VLOOKUP(C9,'[11]CAPEX - BLOCOS PAN'!$C$3:$AN$249,38,FALSE)</f>
        <v>N</v>
      </c>
      <c r="AO9" s="3">
        <v>2</v>
      </c>
      <c r="AP9" s="3" t="s">
        <v>97</v>
      </c>
      <c r="AQ9" s="3" t="s">
        <v>97</v>
      </c>
      <c r="AR9" s="3">
        <v>2027</v>
      </c>
      <c r="AS9" s="3" t="s">
        <v>97</v>
      </c>
      <c r="AT9" s="3" t="s">
        <v>97</v>
      </c>
      <c r="AU9" s="3">
        <v>3</v>
      </c>
      <c r="AV9" s="3">
        <f>VLOOKUP($A9,'BASE PAN - CAPEX'!$A$3:$H$22,8,FALSE)</f>
        <v>3</v>
      </c>
    </row>
    <row r="10" spans="1:48" x14ac:dyDescent="0.25">
      <c r="A10" t="s">
        <v>63</v>
      </c>
      <c r="B10" t="s">
        <v>64</v>
      </c>
      <c r="C10" t="s">
        <v>65</v>
      </c>
      <c r="D10" t="s">
        <v>66</v>
      </c>
      <c r="E10" t="s">
        <v>34</v>
      </c>
      <c r="F10" t="s">
        <v>28</v>
      </c>
      <c r="G10" t="s">
        <v>29</v>
      </c>
      <c r="H10" s="1">
        <f>(VLOOKUP($A10,'BASE PAN - CAPEX'!$A$3:$I$22,9,FALSE)/3)+VLOOKUP($A10,'CAPEX - Manutenção_PPD'!$A$3:$C$22,3,FALSE)+VLOOKUP($A10,'CAPEX - Manutenção_PTR_Taxiway'!$A$3:$C$22,3,FALSE)+VLOOKUP($A10,'CAPEX - Manutenção_Pátio'!$A$3:$C$22,3,FALSE)+VLOOKUP($A10,'CAPEX - Navegação Aérea'!$A$3:$H$22,8,FALSE)</f>
        <v>13746666.666666666</v>
      </c>
      <c r="I10" s="1">
        <f>(VLOOKUP($A10,'BASE PAN - CAPEX'!$A$3:$I$22,9,FALSE)/3)+VLOOKUP($A10,'CAPEX - Manut._Desemborracham.'!$A$3:$C$54,3,FALSE)</f>
        <v>12935017.802271649</v>
      </c>
      <c r="J10" s="1">
        <f>(VLOOKUP($A10,'BASE PAN - CAPEX'!$A$3:$I$22,9,FALSE)/3)</f>
        <v>12871666.666666666</v>
      </c>
      <c r="K10" s="1">
        <f>VLOOKUP($A10,'CAPEX - Manut._Desemborracham.'!$A$3:$D$54,4,FALSE)</f>
        <v>63351.135604982657</v>
      </c>
      <c r="L10" s="1">
        <f>VLOOKUP($A10,'CAPEX - Manutenção_PPD'!$A$3:$D$22,4,FALSE)+VLOOKUP($A10,'CAPEX - Manutenção_PTR_Taxiway'!$A$3:$D$22,4,FALSE)+VLOOKUP($A10,'CAPEX - Manutenção_Pátio'!$A$3:$D$22,4,FALSE)</f>
        <v>197554.34000000003</v>
      </c>
      <c r="M10" s="1">
        <f>VLOOKUP($A10,'CAPEX - Manut._Desemborracham.'!$A$3:$E$54,5,FALSE)</f>
        <v>63351.135604982657</v>
      </c>
      <c r="N10" s="1">
        <v>0</v>
      </c>
      <c r="O10" s="1">
        <f>VLOOKUP($A10,'CAPEX - Manutenção_PPD'!$A$3:$E$22,5,FALSE)+VLOOKUP($A10,'CAPEX - Manutenção_PTR_Taxiway'!$A$3:$E$22,5,FALSE)+VLOOKUP($A10,'CAPEX - Manutenção_Pátio'!$A$3:$E$22,5,FALSE)+VLOOKUP($A10,'CAPEX - Manut._Desemborracham.'!$A$3:$F$54,6,FALSE)</f>
        <v>260905.4756049827</v>
      </c>
      <c r="P10" s="1">
        <v>0</v>
      </c>
      <c r="Q10" s="1">
        <f>VLOOKUP($A10,'CAPEX - Manutenção_PPD'!$A$3:$F$22,6,FALSE)+VLOOKUP($A10,'CAPEX - Manutenção_PTR_Taxiway'!$A$3:$F$22,6,FALSE)+VLOOKUP($A10,'CAPEX - Manutenção_Pátio'!$A$3:$F$22,6,FALSE)+VLOOKUP($A10,'CAPEX - Manut._Desemborracham.'!$A$3:$G$54,7,FALSE)</f>
        <v>6907644.5256049819</v>
      </c>
      <c r="R10" s="1">
        <v>0</v>
      </c>
      <c r="S10" s="1">
        <f>VLOOKUP($A10,'CAPEX - Manut._Desemborracham.'!$A$3:$H$54,8,FALSE)</f>
        <v>63351.135604982657</v>
      </c>
      <c r="T10" s="1">
        <v>0</v>
      </c>
      <c r="U10" s="1">
        <f>VLOOKUP($A10,'CAPEX - Manut._Desemborracham.'!$A$3:$I$54,9,FALSE)</f>
        <v>63351.135604982657</v>
      </c>
      <c r="V10" s="1">
        <f>VLOOKUP($A10,'CAPEX - Manutenção_PPD'!$A$3:$G$22,7,FALSE)+VLOOKUP($A10,'CAPEX - Manutenção_PTR_Taxiway'!$A$3:$G$22,7,FALSE)+VLOOKUP($A10,'CAPEX - Manutenção_Pátio'!$A$3:$G$22,7,FALSE)</f>
        <v>5733832.6399999997</v>
      </c>
      <c r="W10" s="1">
        <f>VLOOKUP($A10,'CAPEX - Manut._Desemborracham.'!$A$3:$J$54,10,FALSE)</f>
        <v>63351.135604982657</v>
      </c>
      <c r="X10" s="1">
        <v>0</v>
      </c>
      <c r="Y10" s="1">
        <f>VLOOKUP($A10,'CAPEX - Manutenção_PPD'!$A$3:$H$22,8,FALSE)+VLOOKUP($A10,'CAPEX - Manutenção_PTR_Taxiway'!$A$3:$H$22,8,FALSE)+VLOOKUP($A10,'CAPEX - Manutenção_Pátio'!$A$3:$H$22,8,FALSE)+VLOOKUP($A10,'CAPEX - Manut._Desemborracham.'!$A$3:$K$54,11,FALSE)</f>
        <v>260905.4756049827</v>
      </c>
      <c r="Z10" s="1">
        <v>0</v>
      </c>
      <c r="AA10" s="1">
        <f>VLOOKUP($A10,'CAPEX - Manutenção_PPD'!$A$3:$I$22,9,FALSE)+VLOOKUP($A10,'CAPEX - Manutenção_PTR_Taxiway'!$A$3:$I$22,9,FALSE)+VLOOKUP($A10,'CAPEX - Manutenção_Pátio'!$A$3:$I$22,9,FALSE)+VLOOKUP($A10,'CAPEX - Manut._Desemborracham.'!$A$3:$L$54,12,FALSE)</f>
        <v>6907644.5256049819</v>
      </c>
      <c r="AB10" s="1">
        <v>0</v>
      </c>
      <c r="AC10" s="1">
        <f>VLOOKUP($A10,'CAPEX - Manut._Desemborracham.'!$A$3:$M$54,13,FALSE)</f>
        <v>63351.135604982657</v>
      </c>
      <c r="AD10" s="1">
        <v>0</v>
      </c>
      <c r="AE10" s="1">
        <f>VLOOKUP($A10,'CAPEX - Manut._Desemborracham.'!$A$3:$N$54,14,FALSE)</f>
        <v>63351.135604982657</v>
      </c>
      <c r="AF10" s="1">
        <f>VLOOKUP($A10,'CAPEX - Manutenção_PPD'!$A$3:$J$22,10,FALSE)+VLOOKUP($A10,'CAPEX - Manutenção_PTR_Taxiway'!$A$3:$J$22,10,FALSE)+VLOOKUP($A10,'CAPEX - Manutenção_Pátio'!$A$3:$J$22,10,FALSE)</f>
        <v>197554.34000000003</v>
      </c>
      <c r="AG10" s="1">
        <f>VLOOKUP($A10,'CAPEX - Manut._Desemborracham.'!$A$3:$O$54,15,FALSE)</f>
        <v>63351.135604982657</v>
      </c>
      <c r="AH10" s="1">
        <v>0</v>
      </c>
      <c r="AI10" s="1">
        <f>VLOOKUP($A10,'CAPEX - Manutenção_PPD'!$A$3:$K$22,11,FALSE)+VLOOKUP($A10,'CAPEX - Manutenção_PTR_Taxiway'!$A$3:$K$22,11,FALSE)+VLOOKUP($A10,'CAPEX - Manutenção_Pátio'!$A$3:$K$22,11,FALSE)+VLOOKUP($A10,'CAPEX - Manut._Desemborracham.'!$A$3:$P$54,16,FALSE)</f>
        <v>260905.4756049827</v>
      </c>
      <c r="AJ10" s="1">
        <v>0</v>
      </c>
      <c r="AK10" s="1">
        <f>VLOOKUP($A10,'CAPEX - Manut._Desemborracham.'!$A$3:$Q$54,17,FALSE)</f>
        <v>63351.135604982657</v>
      </c>
      <c r="AL10" s="1">
        <v>0</v>
      </c>
      <c r="AM10" s="1">
        <f t="shared" si="0"/>
        <v>60850458.154074758</v>
      </c>
      <c r="AN10" t="str">
        <f>VLOOKUP(C10,'[11]CAPEX - BLOCOS PAN'!$C$3:$AN$249,38,FALSE)</f>
        <v>NE e CO</v>
      </c>
      <c r="AO10" s="3">
        <v>2</v>
      </c>
      <c r="AP10" s="3" t="s">
        <v>97</v>
      </c>
      <c r="AQ10" s="3" t="s">
        <v>97</v>
      </c>
      <c r="AR10" s="3">
        <v>2027</v>
      </c>
      <c r="AS10" s="3" t="s">
        <v>97</v>
      </c>
      <c r="AT10" s="3" t="s">
        <v>97</v>
      </c>
      <c r="AU10" s="3">
        <v>3</v>
      </c>
      <c r="AV10" s="3">
        <f>VLOOKUP($A10,'BASE PAN - CAPEX'!$A$3:$H$22,8,FALSE)</f>
        <v>3</v>
      </c>
    </row>
    <row r="11" spans="1:48" x14ac:dyDescent="0.25">
      <c r="A11" t="s">
        <v>67</v>
      </c>
      <c r="B11" t="s">
        <v>68</v>
      </c>
      <c r="C11" t="s">
        <v>69</v>
      </c>
      <c r="D11" t="s">
        <v>70</v>
      </c>
      <c r="E11" t="s">
        <v>31</v>
      </c>
      <c r="F11" t="s">
        <v>28</v>
      </c>
      <c r="G11" t="s">
        <v>29</v>
      </c>
      <c r="H11" s="1">
        <f>(VLOOKUP($A11,'BASE PAN - CAPEX'!$A$3:$I$22,9,FALSE)/3)+VLOOKUP($A11,'CAPEX - Manutenção_PPD'!$A$3:$C$22,3,FALSE)+VLOOKUP($A11,'CAPEX - Manutenção_PTR_Taxiway'!$A$3:$C$22,3,FALSE)+VLOOKUP($A11,'CAPEX - Manutenção_Pátio'!$A$3:$C$22,3,FALSE)+VLOOKUP($A11,'CAPEX - Navegação Aérea'!$A$3:$H$22,8,FALSE)</f>
        <v>5068333.333333334</v>
      </c>
      <c r="I11" s="1">
        <f>(VLOOKUP($A11,'BASE PAN - CAPEX'!$A$3:$I$22,9,FALSE)/3)+VLOOKUP($A11,'CAPEX - Manut._Desemborracham.'!$A$3:$C$54,3,FALSE)</f>
        <v>4193333.3333333335</v>
      </c>
      <c r="J11" s="1">
        <f>(VLOOKUP($A11,'BASE PAN - CAPEX'!$A$3:$I$22,9,FALSE)/3)</f>
        <v>4193333.3333333335</v>
      </c>
      <c r="K11" s="1">
        <f>VLOOKUP($A11,'CAPEX - Manut._Desemborracham.'!$A$3:$D$54,4,FALSE)</f>
        <v>0</v>
      </c>
      <c r="L11" s="1">
        <f>VLOOKUP($A11,'CAPEX - Manutenção_PPD'!$A$3:$D$22,4,FALSE)+VLOOKUP($A11,'CAPEX - Manutenção_PTR_Taxiway'!$A$3:$D$22,4,FALSE)+VLOOKUP($A11,'CAPEX - Manutenção_Pátio'!$A$3:$D$22,4,FALSE)</f>
        <v>173426.21</v>
      </c>
      <c r="M11" s="1">
        <f>VLOOKUP($A11,'CAPEX - Manut._Desemborracham.'!$A$3:$E$54,5,FALSE)</f>
        <v>0</v>
      </c>
      <c r="N11" s="1">
        <v>0</v>
      </c>
      <c r="O11" s="1">
        <f>VLOOKUP($A11,'CAPEX - Manutenção_PPD'!$A$3:$E$22,5,FALSE)+VLOOKUP($A11,'CAPEX - Manutenção_PTR_Taxiway'!$A$3:$E$22,5,FALSE)+VLOOKUP($A11,'CAPEX - Manutenção_Pátio'!$A$3:$E$22,5,FALSE)+VLOOKUP($A11,'CAPEX - Manut._Desemborracham.'!$A$3:$F$54,6,FALSE)</f>
        <v>173426.21</v>
      </c>
      <c r="P11" s="1">
        <v>0</v>
      </c>
      <c r="Q11" s="1">
        <f>VLOOKUP($A11,'CAPEX - Manutenção_PPD'!$A$3:$F$22,6,FALSE)+VLOOKUP($A11,'CAPEX - Manutenção_PTR_Taxiway'!$A$3:$F$22,6,FALSE)+VLOOKUP($A11,'CAPEX - Manutenção_Pátio'!$A$3:$F$22,6,FALSE)+VLOOKUP($A11,'CAPEX - Manut._Desemborracham.'!$A$3:$G$54,7,FALSE)</f>
        <v>6436027.4199999999</v>
      </c>
      <c r="R11" s="1">
        <v>0</v>
      </c>
      <c r="S11" s="1">
        <f>VLOOKUP($A11,'CAPEX - Manut._Desemborracham.'!$A$3:$H$54,8,FALSE)</f>
        <v>0</v>
      </c>
      <c r="T11" s="1">
        <v>0</v>
      </c>
      <c r="U11" s="1">
        <f>VLOOKUP($A11,'CAPEX - Manut._Desemborracham.'!$A$3:$I$54,9,FALSE)</f>
        <v>0</v>
      </c>
      <c r="V11" s="1">
        <f>VLOOKUP($A11,'CAPEX - Manutenção_PPD'!$A$3:$G$22,7,FALSE)+VLOOKUP($A11,'CAPEX - Manutenção_PTR_Taxiway'!$A$3:$G$22,7,FALSE)+VLOOKUP($A11,'CAPEX - Manutenção_Pátio'!$A$3:$G$22,7,FALSE)</f>
        <v>5802339.9400000004</v>
      </c>
      <c r="W11" s="1">
        <f>VLOOKUP($A11,'CAPEX - Manut._Desemborracham.'!$A$3:$J$54,10,FALSE)</f>
        <v>0</v>
      </c>
      <c r="X11" s="1">
        <v>0</v>
      </c>
      <c r="Y11" s="1">
        <f>VLOOKUP($A11,'CAPEX - Manutenção_PPD'!$A$3:$H$22,8,FALSE)+VLOOKUP($A11,'CAPEX - Manutenção_PTR_Taxiway'!$A$3:$H$22,8,FALSE)+VLOOKUP($A11,'CAPEX - Manutenção_Pátio'!$A$3:$H$22,8,FALSE)+VLOOKUP($A11,'CAPEX - Manut._Desemborracham.'!$A$3:$K$54,11,FALSE)</f>
        <v>173426.21</v>
      </c>
      <c r="Z11" s="1">
        <v>0</v>
      </c>
      <c r="AA11" s="1">
        <f>VLOOKUP($A11,'CAPEX - Manutenção_PPD'!$A$3:$I$22,9,FALSE)+VLOOKUP($A11,'CAPEX - Manutenção_PTR_Taxiway'!$A$3:$I$22,9,FALSE)+VLOOKUP($A11,'CAPEX - Manutenção_Pátio'!$A$3:$I$22,9,FALSE)+VLOOKUP($A11,'CAPEX - Manut._Desemborracham.'!$A$3:$L$54,12,FALSE)</f>
        <v>6436027.4199999999</v>
      </c>
      <c r="AB11" s="1">
        <v>0</v>
      </c>
      <c r="AC11" s="1">
        <f>VLOOKUP($A11,'CAPEX - Manut._Desemborracham.'!$A$3:$M$54,13,FALSE)</f>
        <v>0</v>
      </c>
      <c r="AD11" s="1">
        <v>0</v>
      </c>
      <c r="AE11" s="1">
        <f>VLOOKUP($A11,'CAPEX - Manut._Desemborracham.'!$A$3:$N$54,14,FALSE)</f>
        <v>0</v>
      </c>
      <c r="AF11" s="1">
        <f>VLOOKUP($A11,'CAPEX - Manutenção_PPD'!$A$3:$J$22,10,FALSE)+VLOOKUP($A11,'CAPEX - Manutenção_PTR_Taxiway'!$A$3:$J$22,10,FALSE)+VLOOKUP($A11,'CAPEX - Manutenção_Pátio'!$A$3:$J$22,10,FALSE)</f>
        <v>173426.21</v>
      </c>
      <c r="AG11" s="1">
        <f>VLOOKUP($A11,'CAPEX - Manut._Desemborracham.'!$A$3:$O$54,15,FALSE)</f>
        <v>0</v>
      </c>
      <c r="AH11" s="1">
        <v>0</v>
      </c>
      <c r="AI11" s="1">
        <f>VLOOKUP($A11,'CAPEX - Manutenção_PPD'!$A$3:$K$22,11,FALSE)+VLOOKUP($A11,'CAPEX - Manutenção_PTR_Taxiway'!$A$3:$K$22,11,FALSE)+VLOOKUP($A11,'CAPEX - Manutenção_Pátio'!$A$3:$K$22,11,FALSE)+VLOOKUP($A11,'CAPEX - Manut._Desemborracham.'!$A$3:$P$54,16,FALSE)</f>
        <v>173426.21</v>
      </c>
      <c r="AJ11" s="1">
        <v>0</v>
      </c>
      <c r="AK11" s="1">
        <f>VLOOKUP($A11,'CAPEX - Manut._Desemborracham.'!$A$3:$Q$54,17,FALSE)</f>
        <v>0</v>
      </c>
      <c r="AL11" s="1">
        <v>0</v>
      </c>
      <c r="AM11" s="1">
        <f t="shared" si="0"/>
        <v>32996525.830000006</v>
      </c>
      <c r="AN11" t="str">
        <f>VLOOKUP(C11,'[11]CAPEX - BLOCOS PAN'!$C$3:$AN$249,38,FALSE)</f>
        <v>NE e CO</v>
      </c>
      <c r="AO11" s="3">
        <v>1</v>
      </c>
      <c r="AP11" s="3" t="s">
        <v>97</v>
      </c>
      <c r="AQ11" s="3" t="s">
        <v>97</v>
      </c>
      <c r="AR11" s="3" t="s">
        <v>97</v>
      </c>
      <c r="AS11" s="3" t="s">
        <v>97</v>
      </c>
      <c r="AT11" s="3" t="s">
        <v>97</v>
      </c>
      <c r="AU11" s="3" t="s">
        <v>97</v>
      </c>
      <c r="AV11" s="3">
        <f>VLOOKUP($A11,'BASE PAN - CAPEX'!$A$3:$H$22,8,FALSE)</f>
        <v>1</v>
      </c>
    </row>
    <row r="12" spans="1:48" x14ac:dyDescent="0.25">
      <c r="A12" t="s">
        <v>71</v>
      </c>
      <c r="B12" t="s">
        <v>72</v>
      </c>
      <c r="C12" t="s">
        <v>73</v>
      </c>
      <c r="D12" t="s">
        <v>72</v>
      </c>
      <c r="E12" t="s">
        <v>25</v>
      </c>
      <c r="F12" t="s">
        <v>28</v>
      </c>
      <c r="G12" t="s">
        <v>29</v>
      </c>
      <c r="H12" s="1">
        <f>(VLOOKUP($A12,'BASE PAN - CAPEX'!$A$3:$I$22,9,FALSE)/3)+VLOOKUP($A12,'CAPEX - Manutenção_PPD'!$A$3:$C$22,3,FALSE)+VLOOKUP($A12,'CAPEX - Manutenção_PTR_Taxiway'!$A$3:$C$22,3,FALSE)+VLOOKUP($A12,'CAPEX - Manutenção_Pátio'!$A$3:$C$22,3,FALSE)+VLOOKUP($A12,'CAPEX - Navegação Aérea'!$A$3:$H$22,8,FALSE)</f>
        <v>2770000</v>
      </c>
      <c r="I12" s="1">
        <f>(VLOOKUP($A12,'BASE PAN - CAPEX'!$A$3:$I$22,9,FALSE)/3)+VLOOKUP($A12,'CAPEX - Manut._Desemborracham.'!$A$3:$C$54,3,FALSE)</f>
        <v>2860929.2083984856</v>
      </c>
      <c r="J12" s="1">
        <f>(VLOOKUP($A12,'BASE PAN - CAPEX'!$A$3:$I$22,9,FALSE)/3)</f>
        <v>2770000</v>
      </c>
      <c r="K12" s="1">
        <f>VLOOKUP($A12,'CAPEX - Manut._Desemborracham.'!$A$3:$D$54,4,FALSE)</f>
        <v>90929.208398485542</v>
      </c>
      <c r="L12" s="1">
        <f>VLOOKUP($A12,'CAPEX - Manutenção_PPD'!$A$3:$D$22,4,FALSE)+VLOOKUP($A12,'CAPEX - Manutenção_PTR_Taxiway'!$A$3:$D$22,4,FALSE)+VLOOKUP($A12,'CAPEX - Manutenção_Pátio'!$A$3:$D$22,4,FALSE)</f>
        <v>219299.4</v>
      </c>
      <c r="M12" s="1">
        <f>VLOOKUP($A12,'CAPEX - Manut._Desemborracham.'!$A$3:$E$54,5,FALSE)</f>
        <v>90929.208398485542</v>
      </c>
      <c r="N12" s="1">
        <v>0</v>
      </c>
      <c r="O12" s="1">
        <f>VLOOKUP($A12,'CAPEX - Manutenção_PPD'!$A$3:$E$22,5,FALSE)+VLOOKUP($A12,'CAPEX - Manutenção_PTR_Taxiway'!$A$3:$E$22,5,FALSE)+VLOOKUP($A12,'CAPEX - Manutenção_Pátio'!$A$3:$E$22,5,FALSE)+VLOOKUP($A12,'CAPEX - Manut._Desemborracham.'!$A$3:$F$54,6,FALSE)</f>
        <v>310228.60839848552</v>
      </c>
      <c r="P12" s="1">
        <v>0</v>
      </c>
      <c r="Q12" s="1">
        <f>VLOOKUP($A12,'CAPEX - Manutenção_PPD'!$A$3:$F$22,6,FALSE)+VLOOKUP($A12,'CAPEX - Manutenção_PTR_Taxiway'!$A$3:$F$22,6,FALSE)+VLOOKUP($A12,'CAPEX - Manutenção_Pátio'!$A$3:$F$22,6,FALSE)+VLOOKUP($A12,'CAPEX - Manut._Desemborracham.'!$A$3:$G$54,7,FALSE)</f>
        <v>13300789.148398487</v>
      </c>
      <c r="R12" s="1">
        <v>0</v>
      </c>
      <c r="S12" s="1">
        <f>VLOOKUP($A12,'CAPEX - Manut._Desemborracham.'!$A$3:$H$54,8,FALSE)</f>
        <v>90929.208398485542</v>
      </c>
      <c r="T12" s="1">
        <v>0</v>
      </c>
      <c r="U12" s="1">
        <f>VLOOKUP($A12,'CAPEX - Manut._Desemborracham.'!$A$3:$I$54,9,FALSE)</f>
        <v>90929.208398485542</v>
      </c>
      <c r="V12" s="1">
        <f>VLOOKUP($A12,'CAPEX - Manutenção_PPD'!$A$3:$G$22,7,FALSE)+VLOOKUP($A12,'CAPEX - Manutenção_PTR_Taxiway'!$A$3:$G$22,7,FALSE)+VLOOKUP($A12,'CAPEX - Manutenção_Pátio'!$A$3:$G$22,7,FALSE)</f>
        <v>6026773.2699999996</v>
      </c>
      <c r="W12" s="1">
        <f>VLOOKUP($A12,'CAPEX - Manut._Desemborracham.'!$A$3:$J$54,10,FALSE)</f>
        <v>90929.208398485542</v>
      </c>
      <c r="X12" s="1">
        <v>0</v>
      </c>
      <c r="Y12" s="1">
        <f>VLOOKUP($A12,'CAPEX - Manutenção_PPD'!$A$3:$H$22,8,FALSE)+VLOOKUP($A12,'CAPEX - Manutenção_PTR_Taxiway'!$A$3:$H$22,8,FALSE)+VLOOKUP($A12,'CAPEX - Manutenção_Pátio'!$A$3:$H$22,8,FALSE)+VLOOKUP($A12,'CAPEX - Manut._Desemborracham.'!$A$3:$K$54,11,FALSE)</f>
        <v>310228.60839848552</v>
      </c>
      <c r="Z12" s="1">
        <v>0</v>
      </c>
      <c r="AA12" s="1">
        <f>VLOOKUP($A12,'CAPEX - Manutenção_PPD'!$A$3:$I$22,9,FALSE)+VLOOKUP($A12,'CAPEX - Manutenção_PTR_Taxiway'!$A$3:$I$22,9,FALSE)+VLOOKUP($A12,'CAPEX - Manutenção_Pátio'!$A$3:$I$22,9,FALSE)+VLOOKUP($A12,'CAPEX - Manut._Desemborracham.'!$A$3:$L$54,12,FALSE)</f>
        <v>13300789.148398487</v>
      </c>
      <c r="AB12" s="1">
        <v>0</v>
      </c>
      <c r="AC12" s="1">
        <f>VLOOKUP($A12,'CAPEX - Manut._Desemborracham.'!$A$3:$M$54,13,FALSE)</f>
        <v>90929.208398485542</v>
      </c>
      <c r="AD12" s="1">
        <v>0</v>
      </c>
      <c r="AE12" s="1">
        <f>VLOOKUP($A12,'CAPEX - Manut._Desemborracham.'!$A$3:$N$54,14,FALSE)</f>
        <v>90929.208398485542</v>
      </c>
      <c r="AF12" s="1">
        <f>VLOOKUP($A12,'CAPEX - Manutenção_PPD'!$A$3:$J$22,10,FALSE)+VLOOKUP($A12,'CAPEX - Manutenção_PTR_Taxiway'!$A$3:$J$22,10,FALSE)+VLOOKUP($A12,'CAPEX - Manutenção_Pátio'!$A$3:$J$22,10,FALSE)</f>
        <v>219299.4</v>
      </c>
      <c r="AG12" s="1">
        <f>VLOOKUP($A12,'CAPEX - Manut._Desemborracham.'!$A$3:$O$54,15,FALSE)</f>
        <v>90929.208398485542</v>
      </c>
      <c r="AH12" s="1">
        <v>0</v>
      </c>
      <c r="AI12" s="1">
        <f>VLOOKUP($A12,'CAPEX - Manutenção_PPD'!$A$3:$K$22,11,FALSE)+VLOOKUP($A12,'CAPEX - Manutenção_PTR_Taxiway'!$A$3:$K$22,11,FALSE)+VLOOKUP($A12,'CAPEX - Manutenção_Pátio'!$A$3:$K$22,11,FALSE)+VLOOKUP($A12,'CAPEX - Manut._Desemborracham.'!$A$3:$P$54,16,FALSE)</f>
        <v>310228.60839848552</v>
      </c>
      <c r="AJ12" s="1">
        <v>0</v>
      </c>
      <c r="AK12" s="1">
        <f>VLOOKUP($A12,'CAPEX - Manut._Desemborracham.'!$A$3:$Q$54,17,FALSE)</f>
        <v>90929.208398485542</v>
      </c>
      <c r="AL12" s="1">
        <v>0</v>
      </c>
      <c r="AM12" s="1">
        <f t="shared" si="0"/>
        <v>43216928.275977269</v>
      </c>
      <c r="AN12" t="str">
        <f>VLOOKUP(C12,'[11]CAPEX - BLOCOS PAN'!$C$3:$AN$249,38,FALSE)</f>
        <v>N</v>
      </c>
      <c r="AO12" s="3">
        <v>2</v>
      </c>
      <c r="AP12" s="3" t="s">
        <v>97</v>
      </c>
      <c r="AQ12" s="3" t="s">
        <v>97</v>
      </c>
      <c r="AR12" s="3">
        <v>2025</v>
      </c>
      <c r="AS12" s="3" t="s">
        <v>97</v>
      </c>
      <c r="AT12" s="3" t="s">
        <v>97</v>
      </c>
      <c r="AU12" s="3">
        <v>3</v>
      </c>
      <c r="AV12" s="3">
        <f>VLOOKUP($A12,'BASE PAN - CAPEX'!$A$3:$H$22,8,FALSE)</f>
        <v>3</v>
      </c>
    </row>
    <row r="13" spans="1:48" x14ac:dyDescent="0.25">
      <c r="A13" t="s">
        <v>76</v>
      </c>
      <c r="B13" t="s">
        <v>77</v>
      </c>
      <c r="C13" t="s">
        <v>78</v>
      </c>
      <c r="D13" t="s">
        <v>77</v>
      </c>
      <c r="E13" t="s">
        <v>27</v>
      </c>
      <c r="F13" t="s">
        <v>28</v>
      </c>
      <c r="G13" t="s">
        <v>29</v>
      </c>
      <c r="H13" s="1">
        <f>(VLOOKUP($A13,'BASE PAN - CAPEX'!$A$3:$I$22,9,FALSE)/3)+VLOOKUP($A13,'CAPEX - Manutenção_PPD'!$A$3:$C$22,3,FALSE)+VLOOKUP($A13,'CAPEX - Manutenção_PTR_Taxiway'!$A$3:$C$22,3,FALSE)+VLOOKUP($A13,'CAPEX - Manutenção_Pátio'!$A$3:$C$22,3,FALSE)+VLOOKUP($A13,'CAPEX - Navegação Aérea'!$A$3:$H$22,8,FALSE)</f>
        <v>5261666.666666667</v>
      </c>
      <c r="I13" s="1">
        <f>(VLOOKUP($A13,'BASE PAN - CAPEX'!$A$3:$I$22,9,FALSE)/3)+VLOOKUP($A13,'CAPEX - Manut._Desemborracham.'!$A$3:$C$54,3,FALSE)</f>
        <v>5335719.6030478347</v>
      </c>
      <c r="J13" s="1">
        <f>(VLOOKUP($A13,'BASE PAN - CAPEX'!$A$3:$I$22,9,FALSE)/3)</f>
        <v>5261666.666666667</v>
      </c>
      <c r="K13" s="1">
        <f>VLOOKUP($A13,'CAPEX - Manut._Desemborracham.'!$A$3:$D$54,4,FALSE)</f>
        <v>74052.93638116763</v>
      </c>
      <c r="L13" s="1">
        <f>VLOOKUP($A13,'CAPEX - Manutenção_PPD'!$A$3:$D$22,4,FALSE)+VLOOKUP($A13,'CAPEX - Manutenção_PTR_Taxiway'!$A$3:$D$22,4,FALSE)+VLOOKUP($A13,'CAPEX - Manutenção_Pátio'!$A$3:$D$22,4,FALSE)</f>
        <v>209849.61000000002</v>
      </c>
      <c r="M13" s="1">
        <f>VLOOKUP($A13,'CAPEX - Manut._Desemborracham.'!$A$3:$E$54,5,FALSE)</f>
        <v>74052.93638116763</v>
      </c>
      <c r="N13" s="1">
        <v>0</v>
      </c>
      <c r="O13" s="1">
        <f>VLOOKUP($A13,'CAPEX - Manutenção_PPD'!$A$3:$E$22,5,FALSE)+VLOOKUP($A13,'CAPEX - Manutenção_PTR_Taxiway'!$A$3:$E$22,5,FALSE)+VLOOKUP($A13,'CAPEX - Manutenção_Pátio'!$A$3:$E$22,5,FALSE)+VLOOKUP($A13,'CAPEX - Manut._Desemborracham.'!$A$3:$F$54,6,FALSE)</f>
        <v>283902.54638116766</v>
      </c>
      <c r="P13" s="1">
        <v>0</v>
      </c>
      <c r="Q13" s="1">
        <f>VLOOKUP($A13,'CAPEX - Manutenção_PPD'!$A$3:$F$22,6,FALSE)+VLOOKUP($A13,'CAPEX - Manutenção_PTR_Taxiway'!$A$3:$F$22,6,FALSE)+VLOOKUP($A13,'CAPEX - Manutenção_Pátio'!$A$3:$F$22,6,FALSE)+VLOOKUP($A13,'CAPEX - Manut._Desemborracham.'!$A$3:$G$54,7,FALSE)</f>
        <v>10434355.616381165</v>
      </c>
      <c r="R13" s="1">
        <v>0</v>
      </c>
      <c r="S13" s="1">
        <f>VLOOKUP($A13,'CAPEX - Manut._Desemborracham.'!$A$3:$H$54,8,FALSE)</f>
        <v>74052.93638116763</v>
      </c>
      <c r="T13" s="1">
        <v>0</v>
      </c>
      <c r="U13" s="1">
        <f>VLOOKUP($A13,'CAPEX - Manut._Desemborracham.'!$A$3:$I$54,9,FALSE)</f>
        <v>74052.93638116763</v>
      </c>
      <c r="V13" s="1">
        <f>VLOOKUP($A13,'CAPEX - Manutenção_PPD'!$A$3:$G$22,7,FALSE)+VLOOKUP($A13,'CAPEX - Manutenção_PTR_Taxiway'!$A$3:$G$22,7,FALSE)+VLOOKUP($A13,'CAPEX - Manutenção_Pátio'!$A$3:$G$22,7,FALSE)</f>
        <v>7394235.2199999997</v>
      </c>
      <c r="W13" s="1">
        <f>VLOOKUP($A13,'CAPEX - Manut._Desemborracham.'!$A$3:$J$54,10,FALSE)</f>
        <v>74052.93638116763</v>
      </c>
      <c r="X13" s="1">
        <v>0</v>
      </c>
      <c r="Y13" s="1">
        <f>VLOOKUP($A13,'CAPEX - Manutenção_PPD'!$A$3:$H$22,8,FALSE)+VLOOKUP($A13,'CAPEX - Manutenção_PTR_Taxiway'!$A$3:$H$22,8,FALSE)+VLOOKUP($A13,'CAPEX - Manutenção_Pátio'!$A$3:$H$22,8,FALSE)+VLOOKUP($A13,'CAPEX - Manut._Desemborracham.'!$A$3:$K$54,11,FALSE)</f>
        <v>283902.54638116766</v>
      </c>
      <c r="Z13" s="1">
        <v>0</v>
      </c>
      <c r="AA13" s="1">
        <f>VLOOKUP($A13,'CAPEX - Manutenção_PPD'!$A$3:$I$22,9,FALSE)+VLOOKUP($A13,'CAPEX - Manutenção_PTR_Taxiway'!$A$3:$I$22,9,FALSE)+VLOOKUP($A13,'CAPEX - Manutenção_Pátio'!$A$3:$I$22,9,FALSE)+VLOOKUP($A13,'CAPEX - Manut._Desemborracham.'!$A$3:$L$54,12,FALSE)</f>
        <v>10434355.616381165</v>
      </c>
      <c r="AB13" s="1">
        <v>0</v>
      </c>
      <c r="AC13" s="1">
        <f>VLOOKUP($A13,'CAPEX - Manut._Desemborracham.'!$A$3:$M$54,13,FALSE)</f>
        <v>74052.93638116763</v>
      </c>
      <c r="AD13" s="1">
        <v>0</v>
      </c>
      <c r="AE13" s="1">
        <f>VLOOKUP($A13,'CAPEX - Manut._Desemborracham.'!$A$3:$N$54,14,FALSE)</f>
        <v>74052.93638116763</v>
      </c>
      <c r="AF13" s="1">
        <f>VLOOKUP($A13,'CAPEX - Manutenção_PPD'!$A$3:$J$22,10,FALSE)+VLOOKUP($A13,'CAPEX - Manutenção_PTR_Taxiway'!$A$3:$J$22,10,FALSE)+VLOOKUP($A13,'CAPEX - Manutenção_Pátio'!$A$3:$J$22,10,FALSE)</f>
        <v>209849.61000000002</v>
      </c>
      <c r="AG13" s="1">
        <f>VLOOKUP($A13,'CAPEX - Manut._Desemborracham.'!$A$3:$O$54,15,FALSE)</f>
        <v>74052.93638116763</v>
      </c>
      <c r="AH13" s="1">
        <v>0</v>
      </c>
      <c r="AI13" s="1">
        <f>VLOOKUP($A13,'CAPEX - Manutenção_PPD'!$A$3:$K$22,11,FALSE)+VLOOKUP($A13,'CAPEX - Manutenção_PTR_Taxiway'!$A$3:$K$22,11,FALSE)+VLOOKUP($A13,'CAPEX - Manutenção_Pátio'!$A$3:$K$22,11,FALSE)+VLOOKUP($A13,'CAPEX - Manut._Desemborracham.'!$A$3:$P$54,16,FALSE)</f>
        <v>283902.54638116766</v>
      </c>
      <c r="AJ13" s="1">
        <v>0</v>
      </c>
      <c r="AK13" s="1">
        <f>VLOOKUP($A13,'CAPEX - Manut._Desemborracham.'!$A$3:$Q$54,17,FALSE)</f>
        <v>74052.93638116763</v>
      </c>
      <c r="AL13" s="1">
        <v>0</v>
      </c>
      <c r="AM13" s="1">
        <f t="shared" si="0"/>
        <v>46059882.67571751</v>
      </c>
      <c r="AN13" t="str">
        <f>VLOOKUP(C13,'[11]CAPEX - BLOCOS PAN'!$C$3:$AN$249,38,FALSE)</f>
        <v>NE e CO</v>
      </c>
      <c r="AO13" s="3">
        <v>1</v>
      </c>
      <c r="AP13" s="3" t="s">
        <v>97</v>
      </c>
      <c r="AQ13" s="3">
        <v>2038</v>
      </c>
      <c r="AR13" s="3">
        <v>2024</v>
      </c>
      <c r="AS13" s="3" t="s">
        <v>97</v>
      </c>
      <c r="AT13" s="3">
        <v>3</v>
      </c>
      <c r="AU13" s="3">
        <v>2</v>
      </c>
      <c r="AV13" s="3">
        <f>VLOOKUP($A13,'BASE PAN - CAPEX'!$A$3:$H$22,8,FALSE)</f>
        <v>3</v>
      </c>
    </row>
    <row r="14" spans="1:48" x14ac:dyDescent="0.25">
      <c r="A14" t="s">
        <v>80</v>
      </c>
      <c r="B14" t="s">
        <v>81</v>
      </c>
      <c r="C14" t="s">
        <v>82</v>
      </c>
      <c r="D14" t="s">
        <v>83</v>
      </c>
      <c r="E14" t="s">
        <v>33</v>
      </c>
      <c r="F14" t="s">
        <v>28</v>
      </c>
      <c r="G14" t="s">
        <v>29</v>
      </c>
      <c r="H14" s="1">
        <f>(VLOOKUP($A14,'BASE PAN - CAPEX'!$A$3:$I$22,9,FALSE)/3)+VLOOKUP($A14,'CAPEX - Manutenção_PPD'!$A$3:$C$22,3,FALSE)+VLOOKUP($A14,'CAPEX - Manutenção_PTR_Taxiway'!$A$3:$C$22,3,FALSE)+VLOOKUP($A14,'CAPEX - Manutenção_Pátio'!$A$3:$C$22,3,FALSE)+VLOOKUP($A14,'CAPEX - Navegação Aérea'!$A$3:$H$22,8,FALSE)</f>
        <v>5995000</v>
      </c>
      <c r="I14" s="1">
        <f>(VLOOKUP($A14,'BASE PAN - CAPEX'!$A$3:$I$22,9,FALSE)/3)+VLOOKUP($A14,'CAPEX - Manut._Desemborracham.'!$A$3:$C$54,3,FALSE)</f>
        <v>5995000</v>
      </c>
      <c r="J14" s="1">
        <f>(VLOOKUP($A14,'BASE PAN - CAPEX'!$A$3:$I$22,9,FALSE)/3)</f>
        <v>5995000</v>
      </c>
      <c r="K14" s="1">
        <f>VLOOKUP($A14,'CAPEX - Manut._Desemborracham.'!$A$3:$D$54,4,FALSE)</f>
        <v>0</v>
      </c>
      <c r="L14" s="1">
        <f>VLOOKUP($A14,'CAPEX - Manutenção_PPD'!$A$3:$D$22,4,FALSE)+VLOOKUP($A14,'CAPEX - Manutenção_PTR_Taxiway'!$A$3:$D$22,4,FALSE)+VLOOKUP($A14,'CAPEX - Manutenção_Pátio'!$A$3:$D$22,4,FALSE)</f>
        <v>176280.99</v>
      </c>
      <c r="M14" s="1">
        <f>VLOOKUP($A14,'CAPEX - Manut._Desemborracham.'!$A$3:$E$54,5,FALSE)</f>
        <v>0</v>
      </c>
      <c r="N14" s="1">
        <v>0</v>
      </c>
      <c r="O14" s="1">
        <f>VLOOKUP($A14,'CAPEX - Manutenção_PPD'!$A$3:$E$22,5,FALSE)+VLOOKUP($A14,'CAPEX - Manutenção_PTR_Taxiway'!$A$3:$E$22,5,FALSE)+VLOOKUP($A14,'CAPEX - Manutenção_Pátio'!$A$3:$E$22,5,FALSE)+VLOOKUP($A14,'CAPEX - Manut._Desemborracham.'!$A$3:$F$54,6,FALSE)</f>
        <v>176280.99</v>
      </c>
      <c r="P14" s="1">
        <v>0</v>
      </c>
      <c r="Q14" s="1">
        <f>VLOOKUP($A14,'CAPEX - Manutenção_PPD'!$A$3:$F$22,6,FALSE)+VLOOKUP($A14,'CAPEX - Manutenção_PTR_Taxiway'!$A$3:$F$22,6,FALSE)+VLOOKUP($A14,'CAPEX - Manutenção_Pátio'!$A$3:$F$22,6,FALSE)+VLOOKUP($A14,'CAPEX - Manut._Desemborracham.'!$A$3:$G$54,7,FALSE)</f>
        <v>9253990.910000002</v>
      </c>
      <c r="R14" s="1">
        <v>0</v>
      </c>
      <c r="S14" s="1">
        <f>VLOOKUP($A14,'CAPEX - Manut._Desemborracham.'!$A$3:$H$54,8,FALSE)</f>
        <v>0</v>
      </c>
      <c r="T14" s="1">
        <v>0</v>
      </c>
      <c r="U14" s="1">
        <f>VLOOKUP($A14,'CAPEX - Manut._Desemborracham.'!$A$3:$I$54,9,FALSE)</f>
        <v>0</v>
      </c>
      <c r="V14" s="1">
        <f>VLOOKUP($A14,'CAPEX - Manutenção_PPD'!$A$3:$G$22,7,FALSE)+VLOOKUP($A14,'CAPEX - Manutenção_PTR_Taxiway'!$A$3:$G$22,7,FALSE)+VLOOKUP($A14,'CAPEX - Manutenção_Pátio'!$A$3:$G$22,7,FALSE)</f>
        <v>7369668.2600000007</v>
      </c>
      <c r="W14" s="1">
        <f>VLOOKUP($A14,'CAPEX - Manut._Desemborracham.'!$A$3:$J$54,10,FALSE)</f>
        <v>0</v>
      </c>
      <c r="X14" s="1">
        <v>0</v>
      </c>
      <c r="Y14" s="1">
        <f>VLOOKUP($A14,'CAPEX - Manutenção_PPD'!$A$3:$H$22,8,FALSE)+VLOOKUP($A14,'CAPEX - Manutenção_PTR_Taxiway'!$A$3:$H$22,8,FALSE)+VLOOKUP($A14,'CAPEX - Manutenção_Pátio'!$A$3:$H$22,8,FALSE)+VLOOKUP($A14,'CAPEX - Manut._Desemborracham.'!$A$3:$K$54,11,FALSE)</f>
        <v>176280.99</v>
      </c>
      <c r="Z14" s="1">
        <v>0</v>
      </c>
      <c r="AA14" s="1">
        <f>VLOOKUP($A14,'CAPEX - Manutenção_PPD'!$A$3:$I$22,9,FALSE)+VLOOKUP($A14,'CAPEX - Manutenção_PTR_Taxiway'!$A$3:$I$22,9,FALSE)+VLOOKUP($A14,'CAPEX - Manutenção_Pátio'!$A$3:$I$22,9,FALSE)+VLOOKUP($A14,'CAPEX - Manut._Desemborracham.'!$A$3:$L$54,12,FALSE)</f>
        <v>9253990.910000002</v>
      </c>
      <c r="AB14" s="1">
        <v>0</v>
      </c>
      <c r="AC14" s="1">
        <f>VLOOKUP($A14,'CAPEX - Manut._Desemborracham.'!$A$3:$M$54,13,FALSE)</f>
        <v>0</v>
      </c>
      <c r="AD14" s="1">
        <v>0</v>
      </c>
      <c r="AE14" s="1">
        <f>VLOOKUP($A14,'CAPEX - Manut._Desemborracham.'!$A$3:$N$54,14,FALSE)</f>
        <v>0</v>
      </c>
      <c r="AF14" s="1">
        <f>VLOOKUP($A14,'CAPEX - Manutenção_PPD'!$A$3:$J$22,10,FALSE)+VLOOKUP($A14,'CAPEX - Manutenção_PTR_Taxiway'!$A$3:$J$22,10,FALSE)+VLOOKUP($A14,'CAPEX - Manutenção_Pátio'!$A$3:$J$22,10,FALSE)</f>
        <v>176280.99</v>
      </c>
      <c r="AG14" s="1">
        <f>VLOOKUP($A14,'CAPEX - Manut._Desemborracham.'!$A$3:$O$54,15,FALSE)</f>
        <v>0</v>
      </c>
      <c r="AH14" s="1">
        <v>0</v>
      </c>
      <c r="AI14" s="1">
        <f>VLOOKUP($A14,'CAPEX - Manutenção_PPD'!$A$3:$K$22,11,FALSE)+VLOOKUP($A14,'CAPEX - Manutenção_PTR_Taxiway'!$A$3:$K$22,11,FALSE)+VLOOKUP($A14,'CAPEX - Manutenção_Pátio'!$A$3:$K$22,11,FALSE)+VLOOKUP($A14,'CAPEX - Manut._Desemborracham.'!$A$3:$P$54,16,FALSE)</f>
        <v>176280.99</v>
      </c>
      <c r="AJ14" s="1">
        <v>0</v>
      </c>
      <c r="AK14" s="1">
        <f>VLOOKUP($A14,'CAPEX - Manut._Desemborracham.'!$A$3:$Q$54,17,FALSE)</f>
        <v>0</v>
      </c>
      <c r="AL14" s="1">
        <v>0</v>
      </c>
      <c r="AM14" s="1">
        <f t="shared" si="0"/>
        <v>44744055.030000009</v>
      </c>
      <c r="AN14" t="str">
        <f>VLOOKUP(C14,'[11]CAPEX - BLOCOS PAN'!$C$3:$AN$249,38,FALSE)</f>
        <v>NE e CO</v>
      </c>
      <c r="AO14" s="3">
        <v>1</v>
      </c>
      <c r="AP14" s="3" t="s">
        <v>97</v>
      </c>
      <c r="AQ14" s="3" t="s">
        <v>97</v>
      </c>
      <c r="AR14" s="3">
        <v>2029</v>
      </c>
      <c r="AS14" s="3" t="s">
        <v>97</v>
      </c>
      <c r="AT14" s="3" t="s">
        <v>97</v>
      </c>
      <c r="AU14" s="3">
        <v>2</v>
      </c>
      <c r="AV14" s="3">
        <f>VLOOKUP($A14,'BASE PAN - CAPEX'!$A$3:$H$22,8,FALSE)</f>
        <v>2</v>
      </c>
    </row>
    <row r="15" spans="1:48" x14ac:dyDescent="0.25">
      <c r="A15" t="s">
        <v>85</v>
      </c>
      <c r="B15" t="s">
        <v>86</v>
      </c>
      <c r="C15" t="s">
        <v>87</v>
      </c>
      <c r="D15" t="s">
        <v>86</v>
      </c>
      <c r="E15" t="s">
        <v>30</v>
      </c>
      <c r="F15" t="s">
        <v>28</v>
      </c>
      <c r="G15" t="s">
        <v>29</v>
      </c>
      <c r="H15" s="1">
        <f>(VLOOKUP($A15,'BASE PAN - CAPEX'!$A$3:$I$22,9,FALSE)/3)+VLOOKUP($A15,'CAPEX - Manutenção_PPD'!$A$3:$C$22,3,FALSE)+VLOOKUP($A15,'CAPEX - Manutenção_PTR_Taxiway'!$A$3:$C$22,3,FALSE)+VLOOKUP($A15,'CAPEX - Manutenção_Pátio'!$A$3:$C$22,3,FALSE)+VLOOKUP($A15,'CAPEX - Navegação Aérea'!$A$3:$H$22,8,FALSE)</f>
        <v>14468333.333333334</v>
      </c>
      <c r="I15" s="1">
        <f>(VLOOKUP($A15,'BASE PAN - CAPEX'!$A$3:$I$22,9,FALSE)/3)+VLOOKUP($A15,'CAPEX - Manut._Desemborracham.'!$A$3:$C$54,3,FALSE)</f>
        <v>13690383.590599947</v>
      </c>
      <c r="J15" s="1">
        <f>(VLOOKUP($A15,'BASE PAN - CAPEX'!$A$3:$I$22,9,FALSE)/3)</f>
        <v>13593333.333333334</v>
      </c>
      <c r="K15" s="1">
        <f>VLOOKUP($A15,'CAPEX - Manut._Desemborracham.'!$A$3:$D$54,4,FALSE)</f>
        <v>97050.257266612709</v>
      </c>
      <c r="L15" s="1">
        <f>VLOOKUP($A15,'CAPEX - Manutenção_PPD'!$A$3:$D$22,4,FALSE)+VLOOKUP($A15,'CAPEX - Manutenção_PTR_Taxiway'!$A$3:$D$22,4,FALSE)+VLOOKUP($A15,'CAPEX - Manutenção_Pátio'!$A$3:$D$22,4,FALSE)</f>
        <v>221148.2</v>
      </c>
      <c r="M15" s="1">
        <f>VLOOKUP($A15,'CAPEX - Manut._Desemborracham.'!$A$3:$E$54,5,FALSE)</f>
        <v>97050.257266612709</v>
      </c>
      <c r="N15" s="1">
        <v>0</v>
      </c>
      <c r="O15" s="1">
        <f>VLOOKUP($A15,'CAPEX - Manutenção_PPD'!$A$3:$E$22,5,FALSE)+VLOOKUP($A15,'CAPEX - Manutenção_PTR_Taxiway'!$A$3:$E$22,5,FALSE)+VLOOKUP($A15,'CAPEX - Manutenção_Pátio'!$A$3:$E$22,5,FALSE)+VLOOKUP($A15,'CAPEX - Manut._Desemborracham.'!$A$3:$F$54,6,FALSE)</f>
        <v>318198.45726661274</v>
      </c>
      <c r="P15" s="1">
        <v>0</v>
      </c>
      <c r="Q15" s="1">
        <f>VLOOKUP($A15,'CAPEX - Manutenção_PPD'!$A$3:$F$22,6,FALSE)+VLOOKUP($A15,'CAPEX - Manutenção_PTR_Taxiway'!$A$3:$F$22,6,FALSE)+VLOOKUP($A15,'CAPEX - Manutenção_Pátio'!$A$3:$F$22,6,FALSE)+VLOOKUP($A15,'CAPEX - Manut._Desemborracham.'!$A$3:$G$54,7,FALSE)</f>
        <v>9084197.3172666114</v>
      </c>
      <c r="R15" s="1">
        <v>0</v>
      </c>
      <c r="S15" s="1">
        <f>VLOOKUP($A15,'CAPEX - Manut._Desemborracham.'!$A$3:$H$54,8,FALSE)</f>
        <v>97050.257266612709</v>
      </c>
      <c r="T15" s="1">
        <v>0</v>
      </c>
      <c r="U15" s="1">
        <f>VLOOKUP($A15,'CAPEX - Manut._Desemborracham.'!$A$3:$I$54,9,FALSE)</f>
        <v>97050.257266612709</v>
      </c>
      <c r="V15" s="1">
        <f>VLOOKUP($A15,'CAPEX - Manutenção_PPD'!$A$3:$G$22,7,FALSE)+VLOOKUP($A15,'CAPEX - Manutenção_PTR_Taxiway'!$A$3:$G$22,7,FALSE)+VLOOKUP($A15,'CAPEX - Manutenção_Pátio'!$A$3:$G$22,7,FALSE)</f>
        <v>5407363.2599999998</v>
      </c>
      <c r="W15" s="1">
        <f>VLOOKUP($A15,'CAPEX - Manut._Desemborracham.'!$A$3:$J$54,10,FALSE)</f>
        <v>97050.257266612709</v>
      </c>
      <c r="X15" s="1">
        <v>0</v>
      </c>
      <c r="Y15" s="1">
        <f>VLOOKUP($A15,'CAPEX - Manutenção_PPD'!$A$3:$H$22,8,FALSE)+VLOOKUP($A15,'CAPEX - Manutenção_PTR_Taxiway'!$A$3:$H$22,8,FALSE)+VLOOKUP($A15,'CAPEX - Manutenção_Pátio'!$A$3:$H$22,8,FALSE)+VLOOKUP($A15,'CAPEX - Manut._Desemborracham.'!$A$3:$K$54,11,FALSE)</f>
        <v>318198.45726661274</v>
      </c>
      <c r="Z15" s="1">
        <v>0</v>
      </c>
      <c r="AA15" s="1">
        <f>VLOOKUP($A15,'CAPEX - Manutenção_PPD'!$A$3:$I$22,9,FALSE)+VLOOKUP($A15,'CAPEX - Manutenção_PTR_Taxiway'!$A$3:$I$22,9,FALSE)+VLOOKUP($A15,'CAPEX - Manutenção_Pátio'!$A$3:$I$22,9,FALSE)+VLOOKUP($A15,'CAPEX - Manut._Desemborracham.'!$A$3:$L$54,12,FALSE)</f>
        <v>9084197.3172666114</v>
      </c>
      <c r="AB15" s="1">
        <v>0</v>
      </c>
      <c r="AC15" s="1">
        <f>VLOOKUP($A15,'CAPEX - Manut._Desemborracham.'!$A$3:$M$54,13,FALSE)</f>
        <v>97050.257266612709</v>
      </c>
      <c r="AD15" s="1">
        <v>0</v>
      </c>
      <c r="AE15" s="1">
        <f>VLOOKUP($A15,'CAPEX - Manut._Desemborracham.'!$A$3:$N$54,14,FALSE)</f>
        <v>97050.257266612709</v>
      </c>
      <c r="AF15" s="1">
        <f>VLOOKUP($A15,'CAPEX - Manutenção_PPD'!$A$3:$J$22,10,FALSE)+VLOOKUP($A15,'CAPEX - Manutenção_PTR_Taxiway'!$A$3:$J$22,10,FALSE)+VLOOKUP($A15,'CAPEX - Manutenção_Pátio'!$A$3:$J$22,10,FALSE)</f>
        <v>221148.2</v>
      </c>
      <c r="AG15" s="1">
        <f>VLOOKUP($A15,'CAPEX - Manut._Desemborracham.'!$A$3:$O$54,15,FALSE)</f>
        <v>97050.257266612709</v>
      </c>
      <c r="AH15" s="1">
        <v>0</v>
      </c>
      <c r="AI15" s="1">
        <f>VLOOKUP($A15,'CAPEX - Manutenção_PPD'!$A$3:$K$22,11,FALSE)+VLOOKUP($A15,'CAPEX - Manutenção_PTR_Taxiway'!$A$3:$K$22,11,FALSE)+VLOOKUP($A15,'CAPEX - Manutenção_Pátio'!$A$3:$K$22,11,FALSE)+VLOOKUP($A15,'CAPEX - Manut._Desemborracham.'!$A$3:$P$54,16,FALSE)</f>
        <v>318198.45726661274</v>
      </c>
      <c r="AJ15" s="1">
        <v>0</v>
      </c>
      <c r="AK15" s="1">
        <f>VLOOKUP($A15,'CAPEX - Manut._Desemborracham.'!$A$3:$Q$54,17,FALSE)</f>
        <v>97050.257266612709</v>
      </c>
      <c r="AL15" s="1">
        <v>0</v>
      </c>
      <c r="AM15" s="1">
        <f t="shared" si="0"/>
        <v>67598152.238999188</v>
      </c>
      <c r="AN15" t="str">
        <f>VLOOKUP(C15,'[11]CAPEX - BLOCOS PAN'!$C$3:$AN$249,38,FALSE)</f>
        <v>N</v>
      </c>
      <c r="AO15" s="3">
        <v>3</v>
      </c>
      <c r="AP15" s="3" t="s">
        <v>97</v>
      </c>
      <c r="AQ15" s="3" t="s">
        <v>97</v>
      </c>
      <c r="AR15" s="3" t="s">
        <v>97</v>
      </c>
      <c r="AS15" s="3" t="s">
        <v>97</v>
      </c>
      <c r="AT15" s="3" t="s">
        <v>97</v>
      </c>
      <c r="AU15" s="3" t="s">
        <v>97</v>
      </c>
      <c r="AV15" s="3">
        <f>VLOOKUP($A15,'BASE PAN - CAPEX'!$A$3:$H$22,8,FALSE)</f>
        <v>3</v>
      </c>
    </row>
    <row r="16" spans="1:48" x14ac:dyDescent="0.25">
      <c r="A16" t="s">
        <v>130</v>
      </c>
      <c r="B16" t="s">
        <v>131</v>
      </c>
      <c r="C16" t="s">
        <v>136</v>
      </c>
      <c r="D16" t="s">
        <v>131</v>
      </c>
      <c r="E16" t="s">
        <v>26</v>
      </c>
      <c r="F16" t="s">
        <v>28</v>
      </c>
      <c r="G16" t="s">
        <v>29</v>
      </c>
      <c r="H16" s="1">
        <f>(VLOOKUP($A16,'BASE PAN - CAPEX'!$A$3:$I$22,9,FALSE)/3)+VLOOKUP($A16,'CAPEX - Manutenção_PPD'!$A$3:$C$22,3,FALSE)+VLOOKUP($A16,'CAPEX - Manutenção_PTR_Taxiway'!$A$3:$C$22,3,FALSE)+VLOOKUP($A16,'CAPEX - Manutenção_Pátio'!$A$3:$C$22,3,FALSE)+VLOOKUP($A16,'CAPEX - Navegação Aérea'!$A$3:$H$22,8,FALSE)</f>
        <v>8194443.6699999999</v>
      </c>
      <c r="I16" s="1">
        <f>(VLOOKUP($A16,'BASE PAN - CAPEX'!$A$3:$I$22,9,FALSE)/3)+VLOOKUP($A16,'CAPEX - Manut._Desemborracham.'!$A$3:$C$54,3,FALSE)</f>
        <v>7271970.3754864512</v>
      </c>
      <c r="J16" s="1">
        <f>(VLOOKUP($A16,'BASE PAN - CAPEX'!$A$3:$I$22,9,FALSE)/3)</f>
        <v>7195000</v>
      </c>
      <c r="K16" s="1">
        <f>VLOOKUP($A16,'CAPEX - Manut._Desemborracham.'!$A$3:$D$54,4,FALSE)</f>
        <v>76970.375486450852</v>
      </c>
      <c r="L16" s="1">
        <f>VLOOKUP($A16,'CAPEX - Manutenção_PPD'!$A$3:$D$22,4,FALSE)+VLOOKUP($A16,'CAPEX - Manutenção_PTR_Taxiway'!$A$3:$D$22,4,FALSE)+VLOOKUP($A16,'CAPEX - Manutenção_Pátio'!$A$3:$D$22,4,FALSE)</f>
        <v>206408.15999999997</v>
      </c>
      <c r="M16" s="1">
        <f>VLOOKUP($A16,'CAPEX - Manut._Desemborracham.'!$A$3:$E$54,5,FALSE)</f>
        <v>76970.375486450852</v>
      </c>
      <c r="N16" s="1">
        <v>0</v>
      </c>
      <c r="O16" s="1">
        <f>VLOOKUP($A16,'CAPEX - Manutenção_PPD'!$A$3:$E$22,5,FALSE)+VLOOKUP($A16,'CAPEX - Manutenção_PTR_Taxiway'!$A$3:$E$22,5,FALSE)+VLOOKUP($A16,'CAPEX - Manutenção_Pátio'!$A$3:$E$22,5,FALSE)+VLOOKUP($A16,'CAPEX - Manut._Desemborracham.'!$A$3:$F$54,6,FALSE)</f>
        <v>283378.53548645083</v>
      </c>
      <c r="P16" s="1">
        <v>0</v>
      </c>
      <c r="Q16" s="1">
        <f>VLOOKUP($A16,'CAPEX - Manutenção_PPD'!$A$3:$F$22,6,FALSE)+VLOOKUP($A16,'CAPEX - Manutenção_PTR_Taxiway'!$A$3:$F$22,6,FALSE)+VLOOKUP($A16,'CAPEX - Manutenção_Pátio'!$A$3:$F$22,6,FALSE)+VLOOKUP($A16,'CAPEX - Manut._Desemborracham.'!$A$3:$G$54,7,FALSE)</f>
        <v>7496167.5354864514</v>
      </c>
      <c r="R16" s="1">
        <v>0</v>
      </c>
      <c r="S16" s="1">
        <f>VLOOKUP($A16,'CAPEX - Manut._Desemborracham.'!$A$3:$H$54,8,FALSE)</f>
        <v>76970.375486450852</v>
      </c>
      <c r="T16" s="1">
        <v>0</v>
      </c>
      <c r="U16" s="1">
        <f>VLOOKUP($A16,'CAPEX - Manut._Desemborracham.'!$A$3:$I$54,9,FALSE)</f>
        <v>76970.375486450852</v>
      </c>
      <c r="V16" s="1">
        <f>VLOOKUP($A16,'CAPEX - Manutenção_PPD'!$A$3:$G$22,7,FALSE)+VLOOKUP($A16,'CAPEX - Manutenção_PTR_Taxiway'!$A$3:$G$22,7,FALSE)+VLOOKUP($A16,'CAPEX - Manutenção_Pátio'!$A$3:$G$22,7,FALSE)</f>
        <v>5521344.3999999994</v>
      </c>
      <c r="W16" s="1">
        <f>VLOOKUP($A16,'CAPEX - Manut._Desemborracham.'!$A$3:$J$54,10,FALSE)</f>
        <v>76970.375486450852</v>
      </c>
      <c r="X16" s="1">
        <v>0</v>
      </c>
      <c r="Y16" s="1">
        <f>VLOOKUP($A16,'CAPEX - Manutenção_PPD'!$A$3:$H$22,8,FALSE)+VLOOKUP($A16,'CAPEX - Manutenção_PTR_Taxiway'!$A$3:$H$22,8,FALSE)+VLOOKUP($A16,'CAPEX - Manutenção_Pátio'!$A$3:$H$22,8,FALSE)+VLOOKUP($A16,'CAPEX - Manut._Desemborracham.'!$A$3:$K$54,11,FALSE)</f>
        <v>283378.53548645083</v>
      </c>
      <c r="Z16" s="1">
        <v>0</v>
      </c>
      <c r="AA16" s="1">
        <f>VLOOKUP($A16,'CAPEX - Manutenção_PPD'!$A$3:$I$22,9,FALSE)+VLOOKUP($A16,'CAPEX - Manutenção_PTR_Taxiway'!$A$3:$I$22,9,FALSE)+VLOOKUP($A16,'CAPEX - Manutenção_Pátio'!$A$3:$I$22,9,FALSE)+VLOOKUP($A16,'CAPEX - Manut._Desemborracham.'!$A$3:$L$54,12,FALSE)</f>
        <v>7496167.5354864514</v>
      </c>
      <c r="AB16" s="1">
        <v>0</v>
      </c>
      <c r="AC16" s="1">
        <f>VLOOKUP($A16,'CAPEX - Manut._Desemborracham.'!$A$3:$M$54,13,FALSE)</f>
        <v>76970.375486450852</v>
      </c>
      <c r="AD16" s="1">
        <v>0</v>
      </c>
      <c r="AE16" s="1">
        <f>VLOOKUP($A16,'CAPEX - Manut._Desemborracham.'!$A$3:$N$54,14,FALSE)</f>
        <v>76970.375486450852</v>
      </c>
      <c r="AF16" s="1">
        <f>VLOOKUP($A16,'CAPEX - Manutenção_PPD'!$A$3:$J$22,10,FALSE)+VLOOKUP($A16,'CAPEX - Manutenção_PTR_Taxiway'!$A$3:$J$22,10,FALSE)+VLOOKUP($A16,'CAPEX - Manutenção_Pátio'!$A$3:$J$22,10,FALSE)</f>
        <v>206408.15999999997</v>
      </c>
      <c r="AG16" s="1">
        <f>VLOOKUP($A16,'CAPEX - Manut._Desemborracham.'!$A$3:$O$54,15,FALSE)</f>
        <v>76970.375486450852</v>
      </c>
      <c r="AH16" s="1">
        <v>0</v>
      </c>
      <c r="AI16" s="1">
        <f>VLOOKUP($A16,'CAPEX - Manutenção_PPD'!$A$3:$K$22,11,FALSE)+VLOOKUP($A16,'CAPEX - Manutenção_PTR_Taxiway'!$A$3:$K$22,11,FALSE)+VLOOKUP($A16,'CAPEX - Manutenção_Pátio'!$A$3:$K$22,11,FALSE)+VLOOKUP($A16,'CAPEX - Manut._Desemborracham.'!$A$3:$P$54,16,FALSE)</f>
        <v>283378.53548645083</v>
      </c>
      <c r="AJ16" s="1">
        <v>0</v>
      </c>
      <c r="AK16" s="1">
        <f>VLOOKUP($A16,'CAPEX - Manut._Desemborracham.'!$A$3:$Q$54,17,FALSE)</f>
        <v>76970.375486450852</v>
      </c>
      <c r="AL16" s="1">
        <v>0</v>
      </c>
      <c r="AM16" s="1">
        <f t="shared" si="0"/>
        <v>45130778.822296761</v>
      </c>
      <c r="AN16" t="str">
        <f>VLOOKUP(C16,'[11]CAPEX - BLOCOS PAN'!$C$3:$AN$249,38,FALSE)</f>
        <v>NE e CO</v>
      </c>
      <c r="AO16" s="3">
        <v>3</v>
      </c>
      <c r="AP16" s="3" t="s">
        <v>97</v>
      </c>
      <c r="AQ16" s="3" t="s">
        <v>97</v>
      </c>
      <c r="AR16" s="3" t="s">
        <v>97</v>
      </c>
      <c r="AS16" s="3" t="s">
        <v>97</v>
      </c>
      <c r="AT16" s="3" t="s">
        <v>97</v>
      </c>
      <c r="AU16" s="3" t="s">
        <v>97</v>
      </c>
      <c r="AV16" s="3">
        <f>VLOOKUP($A16,'BASE PAN - CAPEX'!$A$3:$H$22,8,FALSE)</f>
        <v>3</v>
      </c>
    </row>
    <row r="17" spans="1:48" x14ac:dyDescent="0.25">
      <c r="A17" t="s">
        <v>91</v>
      </c>
      <c r="B17" t="str">
        <f>VLOOKUP(A17,'BASE PAN - CAPEX'!$A$3:$B$22,2,FALSE)</f>
        <v>PORTO ALEGRE DO NORTE</v>
      </c>
      <c r="C17" t="s">
        <v>137</v>
      </c>
      <c r="D17" t="str">
        <f>VLOOKUP(A17,'BASE PAN - CAPEX'!$A$3:$D$22,2,FALSE)</f>
        <v>PORTO ALEGRE DO NORTE</v>
      </c>
      <c r="E17" t="s">
        <v>32</v>
      </c>
      <c r="F17" t="s">
        <v>28</v>
      </c>
      <c r="G17" t="s">
        <v>29</v>
      </c>
      <c r="H17" s="1">
        <f>(VLOOKUP($A17,'BASE PAN - CAPEX'!$A$3:$I$22,9,FALSE)/3)+VLOOKUP($A17,'CAPEX - Manutenção_PPD'!$A$3:$C$22,3,FALSE)+VLOOKUP($A17,'CAPEX - Manutenção_PTR_Taxiway'!$A$3:$C$22,3,FALSE)+VLOOKUP($A17,'CAPEX - Manutenção_Pátio'!$A$3:$C$22,3,FALSE)+VLOOKUP($A17,'CAPEX - Navegação Aérea'!$A$3:$H$22,8,FALSE)</f>
        <v>7677610.7100000009</v>
      </c>
      <c r="I17" s="1">
        <f>(VLOOKUP($A17,'BASE PAN - CAPEX'!$A$3:$I$22,9,FALSE)/3)+VLOOKUP($A17,'CAPEX - Manut._Desemborracham.'!$A$3:$C$54,3,FALSE)</f>
        <v>2050000</v>
      </c>
      <c r="J17" s="1">
        <f>(VLOOKUP($A17,'BASE PAN - CAPEX'!$A$3:$I$22,9,FALSE)/3)</f>
        <v>2050000</v>
      </c>
      <c r="K17" s="1">
        <f>VLOOKUP($A17,'CAPEX - Manut._Desemborracham.'!$A$3:$D$54,4,FALSE)</f>
        <v>0</v>
      </c>
      <c r="L17" s="1">
        <f>VLOOKUP($A17,'CAPEX - Manutenção_PPD'!$A$3:$D$22,4,FALSE)+VLOOKUP($A17,'CAPEX - Manutenção_PTR_Taxiway'!$A$3:$D$22,4,FALSE)+VLOOKUP($A17,'CAPEX - Manutenção_Pátio'!$A$3:$D$22,4,FALSE)</f>
        <v>81241.56</v>
      </c>
      <c r="M17" s="1">
        <f>VLOOKUP($A17,'CAPEX - Manut._Desemborracham.'!$A$3:$E$54,5,FALSE)</f>
        <v>0</v>
      </c>
      <c r="N17" s="1">
        <v>0</v>
      </c>
      <c r="O17" s="1">
        <f>VLOOKUP($A17,'CAPEX - Manutenção_PPD'!$A$3:$E$22,5,FALSE)+VLOOKUP($A17,'CAPEX - Manutenção_PTR_Taxiway'!$A$3:$E$22,5,FALSE)+VLOOKUP($A17,'CAPEX - Manutenção_Pátio'!$A$3:$E$22,5,FALSE)+VLOOKUP($A17,'CAPEX - Manut._Desemborracham.'!$A$3:$F$54,6,FALSE)</f>
        <v>81241.56</v>
      </c>
      <c r="P17" s="1">
        <v>0</v>
      </c>
      <c r="Q17" s="1">
        <f>VLOOKUP($A17,'CAPEX - Manutenção_PPD'!$A$3:$F$22,6,FALSE)+VLOOKUP($A17,'CAPEX - Manutenção_PTR_Taxiway'!$A$3:$F$22,6,FALSE)+VLOOKUP($A17,'CAPEX - Manutenção_Pátio'!$A$3:$F$22,6,FALSE)+VLOOKUP($A17,'CAPEX - Manut._Desemborracham.'!$A$3:$G$54,7,FALSE)</f>
        <v>3749720.46</v>
      </c>
      <c r="R17" s="1">
        <v>0</v>
      </c>
      <c r="S17" s="1">
        <f>VLOOKUP($A17,'CAPEX - Manut._Desemborracham.'!$A$3:$H$54,8,FALSE)</f>
        <v>0</v>
      </c>
      <c r="T17" s="1">
        <v>0</v>
      </c>
      <c r="U17" s="1">
        <f>VLOOKUP($A17,'CAPEX - Manut._Desemborracham.'!$A$3:$I$54,9,FALSE)</f>
        <v>0</v>
      </c>
      <c r="V17" s="1">
        <f>VLOOKUP($A17,'CAPEX - Manutenção_PPD'!$A$3:$G$22,7,FALSE)+VLOOKUP($A17,'CAPEX - Manutenção_PTR_Taxiway'!$A$3:$G$22,7,FALSE)+VLOOKUP($A17,'CAPEX - Manutenção_Pátio'!$A$3:$G$22,7,FALSE)</f>
        <v>1938813.98</v>
      </c>
      <c r="W17" s="1">
        <f>VLOOKUP($A17,'CAPEX - Manut._Desemborracham.'!$A$3:$J$54,10,FALSE)</f>
        <v>0</v>
      </c>
      <c r="X17" s="1">
        <v>0</v>
      </c>
      <c r="Y17" s="1">
        <f>VLOOKUP($A17,'CAPEX - Manutenção_PPD'!$A$3:$H$22,8,FALSE)+VLOOKUP($A17,'CAPEX - Manutenção_PTR_Taxiway'!$A$3:$H$22,8,FALSE)+VLOOKUP($A17,'CAPEX - Manutenção_Pátio'!$A$3:$H$22,8,FALSE)+VLOOKUP($A17,'CAPEX - Manut._Desemborracham.'!$A$3:$K$54,11,FALSE)</f>
        <v>81241.56</v>
      </c>
      <c r="Z17" s="1">
        <v>0</v>
      </c>
      <c r="AA17" s="1">
        <f>VLOOKUP($A17,'CAPEX - Manutenção_PPD'!$A$3:$I$22,9,FALSE)+VLOOKUP($A17,'CAPEX - Manutenção_PTR_Taxiway'!$A$3:$I$22,9,FALSE)+VLOOKUP($A17,'CAPEX - Manutenção_Pátio'!$A$3:$I$22,9,FALSE)+VLOOKUP($A17,'CAPEX - Manut._Desemborracham.'!$A$3:$L$54,12,FALSE)</f>
        <v>3749720.46</v>
      </c>
      <c r="AB17" s="1">
        <v>0</v>
      </c>
      <c r="AC17" s="1">
        <f>VLOOKUP($A17,'CAPEX - Manut._Desemborracham.'!$A$3:$M$54,13,FALSE)</f>
        <v>0</v>
      </c>
      <c r="AD17" s="1">
        <v>0</v>
      </c>
      <c r="AE17" s="1">
        <f>VLOOKUP($A17,'CAPEX - Manut._Desemborracham.'!$A$3:$N$54,14,FALSE)</f>
        <v>0</v>
      </c>
      <c r="AF17" s="1">
        <f>VLOOKUP($A17,'CAPEX - Manutenção_PPD'!$A$3:$J$22,10,FALSE)+VLOOKUP($A17,'CAPEX - Manutenção_PTR_Taxiway'!$A$3:$J$22,10,FALSE)+VLOOKUP($A17,'CAPEX - Manutenção_Pátio'!$A$3:$J$22,10,FALSE)</f>
        <v>81241.56</v>
      </c>
      <c r="AG17" s="1">
        <f>VLOOKUP($A17,'CAPEX - Manut._Desemborracham.'!$A$3:$O$54,15,FALSE)</f>
        <v>0</v>
      </c>
      <c r="AH17" s="1">
        <v>0</v>
      </c>
      <c r="AI17" s="1">
        <f>VLOOKUP($A17,'CAPEX - Manutenção_PPD'!$A$3:$K$22,11,FALSE)+VLOOKUP($A17,'CAPEX - Manutenção_PTR_Taxiway'!$A$3:$K$22,11,FALSE)+VLOOKUP($A17,'CAPEX - Manutenção_Pátio'!$A$3:$K$22,11,FALSE)+VLOOKUP($A17,'CAPEX - Manut._Desemborracham.'!$A$3:$P$54,16,FALSE)</f>
        <v>81241.56</v>
      </c>
      <c r="AJ17" s="1">
        <v>0</v>
      </c>
      <c r="AK17" s="1">
        <f>VLOOKUP($A17,'CAPEX - Manut._Desemborracham.'!$A$3:$Q$54,17,FALSE)</f>
        <v>0</v>
      </c>
      <c r="AL17" s="1">
        <v>0</v>
      </c>
      <c r="AM17" s="1">
        <f t="shared" si="0"/>
        <v>21622073.41</v>
      </c>
      <c r="AN17" t="str">
        <f>VLOOKUP(C17,'[11]CAPEX - BLOCOS PAN'!$C$3:$AN$249,38,FALSE)</f>
        <v>NE e CO</v>
      </c>
      <c r="AO17" s="3" t="s">
        <v>97</v>
      </c>
      <c r="AP17" s="3" t="s">
        <v>97</v>
      </c>
      <c r="AQ17" s="3" t="s">
        <v>97</v>
      </c>
      <c r="AR17" s="3" t="s">
        <v>97</v>
      </c>
      <c r="AS17" s="3" t="s">
        <v>97</v>
      </c>
      <c r="AT17" s="3" t="s">
        <v>97</v>
      </c>
      <c r="AU17" s="3" t="s">
        <v>97</v>
      </c>
      <c r="AV17" s="3">
        <f>VLOOKUP($A17,'BASE PAN - CAPEX'!$A$3:$H$22,8,FALSE)</f>
        <v>0</v>
      </c>
    </row>
    <row r="18" spans="1:48" s="17" customFormat="1" x14ac:dyDescent="0.25">
      <c r="A18" s="17" t="s">
        <v>154</v>
      </c>
      <c r="B18" s="30" t="s">
        <v>155</v>
      </c>
      <c r="C18" s="17" t="s">
        <v>156</v>
      </c>
      <c r="D18" s="17" t="s">
        <v>155</v>
      </c>
      <c r="E18" s="17" t="s">
        <v>31</v>
      </c>
      <c r="F18" s="17" t="s">
        <v>28</v>
      </c>
      <c r="G18" s="17" t="s">
        <v>29</v>
      </c>
      <c r="H18" s="1">
        <f>(VLOOKUP($A18,'BASE PAN - CAPEX'!$A$3:$I$22,9,FALSE)/3)+VLOOKUP($A18,'CAPEX - Manutenção_PPD'!$A$3:$C$22,3,FALSE)+VLOOKUP($A18,'CAPEX - Manutenção_PTR_Taxiway'!$A$3:$C$22,3,FALSE)+VLOOKUP($A18,'CAPEX - Manutenção_Pátio'!$A$3:$C$22,3,FALSE)+VLOOKUP($A18,'CAPEX - Navegação Aérea'!$A$3:$H$22,8,FALSE)</f>
        <v>6527459.1700000009</v>
      </c>
      <c r="I18" s="1">
        <f>(VLOOKUP($A18,'BASE PAN - CAPEX'!$A$3:$I$22,9,FALSE)/3)+VLOOKUP($A18,'CAPEX - Manut._Desemborracham.'!$A$3:$C$54,3,FALSE)</f>
        <v>840000</v>
      </c>
      <c r="J18" s="1">
        <f>(VLOOKUP($A18,'BASE PAN - CAPEX'!$A$3:$I$22,9,FALSE)/3)</f>
        <v>840000</v>
      </c>
      <c r="K18" s="1">
        <f>VLOOKUP($A18,'CAPEX - Manut._Desemborracham.'!$A$3:$D$54,4,FALSE)</f>
        <v>0</v>
      </c>
      <c r="L18" s="1">
        <f>VLOOKUP($A18,'CAPEX - Manutenção_PPD'!$A$3:$D$22,4,FALSE)+VLOOKUP($A18,'CAPEX - Manutenção_PTR_Taxiway'!$A$3:$D$22,4,FALSE)+VLOOKUP($A18,'CAPEX - Manutenção_Pátio'!$A$3:$D$22,4,FALSE)</f>
        <v>68451.08</v>
      </c>
      <c r="M18" s="1">
        <f>VLOOKUP($A18,'CAPEX - Manut._Desemborracham.'!$A$3:$E$54,5,FALSE)</f>
        <v>0</v>
      </c>
      <c r="N18" s="1">
        <v>0</v>
      </c>
      <c r="O18" s="1">
        <f>VLOOKUP($A18,'CAPEX - Manutenção_PPD'!$A$3:$E$22,5,FALSE)+VLOOKUP($A18,'CAPEX - Manutenção_PTR_Taxiway'!$A$3:$E$22,5,FALSE)+VLOOKUP($A18,'CAPEX - Manutenção_Pátio'!$A$3:$E$22,5,FALSE)+VLOOKUP($A18,'CAPEX - Manut._Desemborracham.'!$A$3:$F$54,6,FALSE)</f>
        <v>68451.08</v>
      </c>
      <c r="P18" s="1">
        <v>0</v>
      </c>
      <c r="Q18" s="1">
        <f>VLOOKUP($A18,'CAPEX - Manutenção_PPD'!$A$3:$F$22,6,FALSE)+VLOOKUP($A18,'CAPEX - Manutenção_PTR_Taxiway'!$A$3:$F$22,6,FALSE)+VLOOKUP($A18,'CAPEX - Manutenção_Pátio'!$A$3:$F$22,6,FALSE)+VLOOKUP($A18,'CAPEX - Manut._Desemborracham.'!$A$3:$G$54,7,FALSE)</f>
        <v>3843938.1199999996</v>
      </c>
      <c r="R18" s="1">
        <v>0</v>
      </c>
      <c r="S18" s="1">
        <f>VLOOKUP($A18,'CAPEX - Manut._Desemborracham.'!$A$3:$H$54,8,FALSE)</f>
        <v>0</v>
      </c>
      <c r="T18" s="1">
        <v>0</v>
      </c>
      <c r="U18" s="1">
        <f>VLOOKUP($A18,'CAPEX - Manut._Desemborracham.'!$A$3:$I$54,9,FALSE)</f>
        <v>0</v>
      </c>
      <c r="V18" s="1">
        <f>VLOOKUP($A18,'CAPEX - Manutenção_PPD'!$A$3:$G$22,7,FALSE)+VLOOKUP($A18,'CAPEX - Manutenção_PTR_Taxiway'!$A$3:$G$22,7,FALSE)+VLOOKUP($A18,'CAPEX - Manutenção_Pátio'!$A$3:$G$22,7,FALSE)</f>
        <v>1911972.13</v>
      </c>
      <c r="W18" s="1">
        <f>VLOOKUP($A18,'CAPEX - Manut._Desemborracham.'!$A$3:$J$54,10,FALSE)</f>
        <v>0</v>
      </c>
      <c r="X18" s="1">
        <v>0</v>
      </c>
      <c r="Y18" s="1">
        <f>VLOOKUP($A18,'CAPEX - Manutenção_PPD'!$A$3:$H$22,8,FALSE)+VLOOKUP($A18,'CAPEX - Manutenção_PTR_Taxiway'!$A$3:$H$22,8,FALSE)+VLOOKUP($A18,'CAPEX - Manutenção_Pátio'!$A$3:$H$22,8,FALSE)+VLOOKUP($A18,'CAPEX - Manut._Desemborracham.'!$A$3:$K$54,11,FALSE)</f>
        <v>68451.08</v>
      </c>
      <c r="Z18" s="1">
        <v>0</v>
      </c>
      <c r="AA18" s="1">
        <f>VLOOKUP($A18,'CAPEX - Manutenção_PPD'!$A$3:$I$22,9,FALSE)+VLOOKUP($A18,'CAPEX - Manutenção_PTR_Taxiway'!$A$3:$I$22,9,FALSE)+VLOOKUP($A18,'CAPEX - Manutenção_Pátio'!$A$3:$I$22,9,FALSE)+VLOOKUP($A18,'CAPEX - Manut._Desemborracham.'!$A$3:$L$54,12,FALSE)</f>
        <v>3843938.1199999996</v>
      </c>
      <c r="AB18" s="1">
        <v>0</v>
      </c>
      <c r="AC18" s="1">
        <f>VLOOKUP($A18,'CAPEX - Manut._Desemborracham.'!$A$3:$M$54,13,FALSE)</f>
        <v>0</v>
      </c>
      <c r="AD18" s="1">
        <v>0</v>
      </c>
      <c r="AE18" s="1">
        <f>VLOOKUP($A18,'CAPEX - Manut._Desemborracham.'!$A$3:$N$54,14,FALSE)</f>
        <v>0</v>
      </c>
      <c r="AF18" s="1">
        <f>VLOOKUP($A18,'CAPEX - Manutenção_PPD'!$A$3:$J$22,10,FALSE)+VLOOKUP($A18,'CAPEX - Manutenção_PTR_Taxiway'!$A$3:$J$22,10,FALSE)+VLOOKUP($A18,'CAPEX - Manutenção_Pátio'!$A$3:$J$22,10,FALSE)</f>
        <v>68451.08</v>
      </c>
      <c r="AG18" s="1">
        <f>VLOOKUP($A18,'CAPEX - Manut._Desemborracham.'!$A$3:$O$54,15,FALSE)</f>
        <v>0</v>
      </c>
      <c r="AH18" s="1">
        <v>0</v>
      </c>
      <c r="AI18" s="1">
        <f>VLOOKUP($A18,'CAPEX - Manutenção_PPD'!$A$3:$K$22,11,FALSE)+VLOOKUP($A18,'CAPEX - Manutenção_PTR_Taxiway'!$A$3:$K$22,11,FALSE)+VLOOKUP($A18,'CAPEX - Manutenção_Pátio'!$A$3:$K$22,11,FALSE)+VLOOKUP($A18,'CAPEX - Manut._Desemborracham.'!$A$3:$P$54,16,FALSE)</f>
        <v>68451.08</v>
      </c>
      <c r="AJ18" s="1">
        <v>0</v>
      </c>
      <c r="AK18" s="1">
        <f>VLOOKUP($A18,'CAPEX - Manut._Desemborracham.'!$A$3:$Q$54,17,FALSE)</f>
        <v>0</v>
      </c>
      <c r="AL18" s="1">
        <v>0</v>
      </c>
      <c r="AM18" s="28">
        <f t="shared" ref="AM18" si="1">SUM(H18:AL18)</f>
        <v>18149562.939999998</v>
      </c>
      <c r="AN18" s="17" t="str">
        <f>VLOOKUP(C18,'[11]CAPEX - BLOCOS PAN'!$C$3:$AN$249,38,FALSE)</f>
        <v>NE e CO</v>
      </c>
      <c r="AO18" s="29" t="s">
        <v>97</v>
      </c>
      <c r="AP18" s="29" t="s">
        <v>97</v>
      </c>
      <c r="AQ18" s="29" t="s">
        <v>97</v>
      </c>
      <c r="AR18" s="29" t="s">
        <v>97</v>
      </c>
      <c r="AS18" s="29" t="s">
        <v>97</v>
      </c>
      <c r="AT18" s="29" t="s">
        <v>97</v>
      </c>
      <c r="AU18" s="29" t="s">
        <v>97</v>
      </c>
      <c r="AV18" s="3">
        <f>VLOOKUP($A18,'BASE PAN - CAPEX'!$A$3:$H$22,8,FALSE)</f>
        <v>0</v>
      </c>
    </row>
    <row r="19" spans="1:48" s="17" customFormat="1" x14ac:dyDescent="0.25">
      <c r="A19" s="17" t="s">
        <v>157</v>
      </c>
      <c r="B19" s="17" t="s">
        <v>158</v>
      </c>
      <c r="C19" s="17" t="s">
        <v>159</v>
      </c>
      <c r="D19" s="17" t="s">
        <v>158</v>
      </c>
      <c r="E19" s="17" t="s">
        <v>31</v>
      </c>
      <c r="F19" s="17" t="s">
        <v>28</v>
      </c>
      <c r="G19" s="17" t="s">
        <v>29</v>
      </c>
      <c r="H19" s="1">
        <f>(VLOOKUP($A19,'BASE PAN - CAPEX'!$A$3:$I$22,9,FALSE)/3)+VLOOKUP($A19,'CAPEX - Manutenção_PPD'!$A$3:$C$22,3,FALSE)+VLOOKUP($A19,'CAPEX - Manutenção_PTR_Taxiway'!$A$3:$C$22,3,FALSE)+VLOOKUP($A19,'CAPEX - Manutenção_Pátio'!$A$3:$C$22,3,FALSE)+VLOOKUP($A19,'CAPEX - Navegação Aérea'!$A$3:$H$22,8,FALSE)</f>
        <v>6858541.0966666667</v>
      </c>
      <c r="I19" s="1">
        <f>(VLOOKUP($A19,'BASE PAN - CAPEX'!$A$3:$I$22,9,FALSE)/3)+VLOOKUP($A19,'CAPEX - Manut._Desemborracham.'!$A$3:$C$54,3,FALSE)</f>
        <v>1341666.6666666667</v>
      </c>
      <c r="J19" s="1">
        <f>(VLOOKUP($A19,'BASE PAN - CAPEX'!$A$3:$I$22,9,FALSE)/3)</f>
        <v>1341666.6666666667</v>
      </c>
      <c r="K19" s="1">
        <f>VLOOKUP($A19,'CAPEX - Manut._Desemborracham.'!$A$3:$D$54,4,FALSE)</f>
        <v>0</v>
      </c>
      <c r="L19" s="1">
        <f>VLOOKUP($A19,'CAPEX - Manutenção_PPD'!$A$3:$D$22,4,FALSE)+VLOOKUP($A19,'CAPEX - Manutenção_PTR_Taxiway'!$A$3:$D$22,4,FALSE)+VLOOKUP($A19,'CAPEX - Manutenção_Pátio'!$A$3:$D$22,4,FALSE)</f>
        <v>62823</v>
      </c>
      <c r="M19" s="1">
        <f>VLOOKUP($A19,'CAPEX - Manut._Desemborracham.'!$A$3:$E$54,5,FALSE)</f>
        <v>0</v>
      </c>
      <c r="N19" s="1">
        <v>0</v>
      </c>
      <c r="O19" s="1">
        <f>VLOOKUP($A19,'CAPEX - Manutenção_PPD'!$A$3:$E$22,5,FALSE)+VLOOKUP($A19,'CAPEX - Manutenção_PTR_Taxiway'!$A$3:$E$22,5,FALSE)+VLOOKUP($A19,'CAPEX - Manutenção_Pátio'!$A$3:$E$22,5,FALSE)+VLOOKUP($A19,'CAPEX - Manut._Desemborracham.'!$A$3:$F$54,6,FALSE)</f>
        <v>62823</v>
      </c>
      <c r="P19" s="1">
        <v>0</v>
      </c>
      <c r="Q19" s="1">
        <f>VLOOKUP($A19,'CAPEX - Manutenção_PPD'!$A$3:$F$22,6,FALSE)+VLOOKUP($A19,'CAPEX - Manutenção_PTR_Taxiway'!$A$3:$F$22,6,FALSE)+VLOOKUP($A19,'CAPEX - Manutenção_Pátio'!$A$3:$F$22,6,FALSE)+VLOOKUP($A19,'CAPEX - Manut._Desemborracham.'!$A$3:$G$54,7,FALSE)</f>
        <v>4085952.31</v>
      </c>
      <c r="R19" s="1">
        <v>0</v>
      </c>
      <c r="S19" s="1">
        <f>VLOOKUP($A19,'CAPEX - Manut._Desemborracham.'!$A$3:$H$54,8,FALSE)</f>
        <v>0</v>
      </c>
      <c r="T19" s="1">
        <v>0</v>
      </c>
      <c r="U19" s="1">
        <f>VLOOKUP($A19,'CAPEX - Manut._Desemborracham.'!$A$3:$I$54,9,FALSE)</f>
        <v>0</v>
      </c>
      <c r="V19" s="1">
        <f>VLOOKUP($A19,'CAPEX - Manutenção_PPD'!$A$3:$G$22,7,FALSE)+VLOOKUP($A19,'CAPEX - Manutenção_PTR_Taxiway'!$A$3:$G$22,7,FALSE)+VLOOKUP($A19,'CAPEX - Manutenção_Pátio'!$A$3:$G$22,7,FALSE)</f>
        <v>1632888.42</v>
      </c>
      <c r="W19" s="1">
        <f>VLOOKUP($A19,'CAPEX - Manut._Desemborracham.'!$A$3:$J$54,10,FALSE)</f>
        <v>0</v>
      </c>
      <c r="X19" s="1">
        <v>0</v>
      </c>
      <c r="Y19" s="1">
        <f>VLOOKUP($A19,'CAPEX - Manutenção_PPD'!$A$3:$H$22,8,FALSE)+VLOOKUP($A19,'CAPEX - Manutenção_PTR_Taxiway'!$A$3:$H$22,8,FALSE)+VLOOKUP($A19,'CAPEX - Manutenção_Pátio'!$A$3:$H$22,8,FALSE)+VLOOKUP($A19,'CAPEX - Manut._Desemborracham.'!$A$3:$K$54,11,FALSE)</f>
        <v>62823</v>
      </c>
      <c r="Z19" s="1">
        <v>0</v>
      </c>
      <c r="AA19" s="1">
        <f>VLOOKUP($A19,'CAPEX - Manutenção_PPD'!$A$3:$I$22,9,FALSE)+VLOOKUP($A19,'CAPEX - Manutenção_PTR_Taxiway'!$A$3:$I$22,9,FALSE)+VLOOKUP($A19,'CAPEX - Manutenção_Pátio'!$A$3:$I$22,9,FALSE)+VLOOKUP($A19,'CAPEX - Manut._Desemborracham.'!$A$3:$L$54,12,FALSE)</f>
        <v>4085952.31</v>
      </c>
      <c r="AB19" s="1">
        <v>0</v>
      </c>
      <c r="AC19" s="1">
        <f>VLOOKUP($A19,'CAPEX - Manut._Desemborracham.'!$A$3:$M$54,13,FALSE)</f>
        <v>0</v>
      </c>
      <c r="AD19" s="1">
        <v>0</v>
      </c>
      <c r="AE19" s="1">
        <f>VLOOKUP($A19,'CAPEX - Manut._Desemborracham.'!$A$3:$N$54,14,FALSE)</f>
        <v>0</v>
      </c>
      <c r="AF19" s="1">
        <f>VLOOKUP($A19,'CAPEX - Manutenção_PPD'!$A$3:$J$22,10,FALSE)+VLOOKUP($A19,'CAPEX - Manutenção_PTR_Taxiway'!$A$3:$J$22,10,FALSE)+VLOOKUP($A19,'CAPEX - Manutenção_Pátio'!$A$3:$J$22,10,FALSE)</f>
        <v>62823</v>
      </c>
      <c r="AG19" s="1">
        <f>VLOOKUP($A19,'CAPEX - Manut._Desemborracham.'!$A$3:$O$54,15,FALSE)</f>
        <v>0</v>
      </c>
      <c r="AH19" s="1">
        <v>0</v>
      </c>
      <c r="AI19" s="1">
        <f>VLOOKUP($A19,'CAPEX - Manutenção_PPD'!$A$3:$K$22,11,FALSE)+VLOOKUP($A19,'CAPEX - Manutenção_PTR_Taxiway'!$A$3:$K$22,11,FALSE)+VLOOKUP($A19,'CAPEX - Manutenção_Pátio'!$A$3:$K$22,11,FALSE)+VLOOKUP($A19,'CAPEX - Manut._Desemborracham.'!$A$3:$P$54,16,FALSE)</f>
        <v>62823</v>
      </c>
      <c r="AJ19" s="1">
        <v>0</v>
      </c>
      <c r="AK19" s="1">
        <f>VLOOKUP($A19,'CAPEX - Manut._Desemborracham.'!$A$3:$Q$54,17,FALSE)</f>
        <v>0</v>
      </c>
      <c r="AL19" s="1">
        <v>0</v>
      </c>
      <c r="AM19" s="28">
        <f t="shared" ref="AM19:AM21" si="2">SUM(H19:AL19)</f>
        <v>19660782.469999999</v>
      </c>
      <c r="AN19" s="17" t="str">
        <f>VLOOKUP(C19,'[11]CAPEX - BLOCOS PAN'!$C$3:$AN$249,38,FALSE)</f>
        <v>NE e CO</v>
      </c>
      <c r="AO19" s="29" t="s">
        <v>97</v>
      </c>
      <c r="AP19" s="29" t="s">
        <v>97</v>
      </c>
      <c r="AQ19" s="29" t="s">
        <v>97</v>
      </c>
      <c r="AR19" s="29" t="s">
        <v>97</v>
      </c>
      <c r="AS19" s="29" t="s">
        <v>97</v>
      </c>
      <c r="AT19" s="29" t="s">
        <v>97</v>
      </c>
      <c r="AU19" s="29" t="s">
        <v>97</v>
      </c>
      <c r="AV19" s="3">
        <f>VLOOKUP($A19,'BASE PAN - CAPEX'!$A$3:$H$22,8,FALSE)</f>
        <v>0</v>
      </c>
    </row>
    <row r="20" spans="1:48" s="17" customFormat="1" x14ac:dyDescent="0.25">
      <c r="A20" s="17" t="s">
        <v>317</v>
      </c>
      <c r="B20" s="30" t="str">
        <f>VLOOKUP(A20,'CAPEX - Navegação Aérea'!$A$3:$B$22,2,FALSE)</f>
        <v>COMANDANTE ARISTON PESSOA</v>
      </c>
      <c r="C20" s="17" t="str">
        <f>VLOOKUP(A20,'[10]FLUXO DE CAIXA DESC.-BLOCOS PAN'!$A$3:$D$251,4,FALSE)</f>
        <v>SNAT230110</v>
      </c>
      <c r="D20" s="17" t="s">
        <v>318</v>
      </c>
      <c r="E20" s="17" t="s">
        <v>319</v>
      </c>
      <c r="F20" s="17" t="s">
        <v>28</v>
      </c>
      <c r="G20" s="17" t="s">
        <v>29</v>
      </c>
      <c r="H20" s="28">
        <f>(VLOOKUP($A20,'BASE PAN - CAPEX'!$A$3:$I$22,9,FALSE)/3)+VLOOKUP($A20,'CAPEX - Manutenção_PPD'!$A$3:$C$22,3,FALSE)+VLOOKUP($A20,'CAPEX - Manutenção_PTR_Taxiway'!$A$3:$C$22,3,FALSE)+VLOOKUP($A20,'CAPEX - Manutenção_Pátio'!$A$3:$C$22,3,FALSE)+VLOOKUP($A20,'CAPEX - Navegação Aérea'!$A$3:$H$22,8,FALSE)</f>
        <v>3395000</v>
      </c>
      <c r="I20" s="28">
        <f>(VLOOKUP($A20,'BASE PAN - CAPEX'!$A$3:$I$22,9,FALSE)/3)+VLOOKUP($A20,'CAPEX - Manut._Desemborracham.'!$A$3:$C$54,3,FALSE)</f>
        <v>3455943.0860455493</v>
      </c>
      <c r="J20" s="28">
        <f>(VLOOKUP($A20,'BASE PAN - CAPEX'!$A$3:$I$22,9,FALSE)/3)</f>
        <v>3395000</v>
      </c>
      <c r="K20" s="28">
        <f>VLOOKUP($A20,'CAPEX - Manut._Desemborracham.'!$A$3:$D$54,4,FALSE)</f>
        <v>60943.086045549135</v>
      </c>
      <c r="L20" s="28">
        <f>VLOOKUP($A20,'CAPEX - Manutenção_PPD'!$A$3:$D$22,4,FALSE)+VLOOKUP($A20,'CAPEX - Manutenção_PTR_Taxiway'!$A$3:$D$22,4,FALSE)+VLOOKUP($A20,'CAPEX - Manutenção_Pátio'!$A$3:$D$22,4,FALSE)</f>
        <v>242067.46000000002</v>
      </c>
      <c r="M20" s="28">
        <f>VLOOKUP($A20,'CAPEX - Manut._Desemborracham.'!$A$3:$E$54,5,FALSE)</f>
        <v>60943.086045549135</v>
      </c>
      <c r="N20" s="28">
        <v>0</v>
      </c>
      <c r="O20" s="28">
        <f>VLOOKUP($A20,'CAPEX - Manutenção_PPD'!$A$3:$E$22,5,FALSE)+VLOOKUP($A20,'CAPEX - Manutenção_PTR_Taxiway'!$A$3:$E$22,5,FALSE)+VLOOKUP($A20,'CAPEX - Manutenção_Pátio'!$A$3:$E$22,5,FALSE)+VLOOKUP($A20,'CAPEX - Manut._Desemborracham.'!$A$3:$F$54,6,FALSE)</f>
        <v>303010.54604554916</v>
      </c>
      <c r="P20" s="28">
        <v>0</v>
      </c>
      <c r="Q20" s="28">
        <f>VLOOKUP($A20,'CAPEX - Manutenção_PPD'!$A$3:$F$22,6,FALSE)+VLOOKUP($A20,'CAPEX - Manutenção_PTR_Taxiway'!$A$3:$F$22,6,FALSE)+VLOOKUP($A20,'CAPEX - Manutenção_Pátio'!$A$3:$F$22,6,FALSE)+VLOOKUP($A20,'CAPEX - Manut._Desemborracham.'!$A$3:$G$54,7,FALSE)</f>
        <v>8356494.2360455487</v>
      </c>
      <c r="R20" s="28">
        <v>0</v>
      </c>
      <c r="S20" s="28">
        <f>VLOOKUP($A20,'CAPEX - Manut._Desemborracham.'!$A$3:$H$54,8,FALSE)</f>
        <v>60943.086045549135</v>
      </c>
      <c r="T20" s="28">
        <v>0</v>
      </c>
      <c r="U20" s="28">
        <f>VLOOKUP($A20,'CAPEX - Manut._Desemborracham.'!$A$3:$I$54,9,FALSE)</f>
        <v>60943.086045549135</v>
      </c>
      <c r="V20" s="28">
        <f>VLOOKUP($A20,'CAPEX - Manutenção_PPD'!$A$3:$G$22,7,FALSE)+VLOOKUP($A20,'CAPEX - Manutenção_PTR_Taxiway'!$A$3:$G$22,7,FALSE)+VLOOKUP($A20,'CAPEX - Manutenção_Pátio'!$A$3:$G$22,7,FALSE)</f>
        <v>8087636.6100000003</v>
      </c>
      <c r="W20" s="28">
        <f>VLOOKUP($A20,'CAPEX - Manut._Desemborracham.'!$A$3:$J$54,10,FALSE)</f>
        <v>60943.086045549135</v>
      </c>
      <c r="X20" s="28">
        <v>0</v>
      </c>
      <c r="Y20" s="28">
        <f>VLOOKUP($A20,'CAPEX - Manutenção_PPD'!$A$3:$H$22,8,FALSE)+VLOOKUP($A20,'CAPEX - Manutenção_PTR_Taxiway'!$A$3:$H$22,8,FALSE)+VLOOKUP($A20,'CAPEX - Manutenção_Pátio'!$A$3:$H$22,8,FALSE)+VLOOKUP($A20,'CAPEX - Manut._Desemborracham.'!$A$3:$K$54,11,FALSE)</f>
        <v>303010.54604554916</v>
      </c>
      <c r="Z20" s="28">
        <v>0</v>
      </c>
      <c r="AA20" s="28">
        <f>VLOOKUP($A20,'CAPEX - Manutenção_PPD'!$A$3:$I$22,9,FALSE)+VLOOKUP($A20,'CAPEX - Manutenção_PTR_Taxiway'!$A$3:$I$22,9,FALSE)+VLOOKUP($A20,'CAPEX - Manutenção_Pátio'!$A$3:$I$22,9,FALSE)+VLOOKUP($A20,'CAPEX - Manut._Desemborracham.'!$A$3:$L$54,12,FALSE)</f>
        <v>8356494.2360455487</v>
      </c>
      <c r="AB20" s="28">
        <v>0</v>
      </c>
      <c r="AC20" s="28">
        <f>VLOOKUP($A20,'CAPEX - Manut._Desemborracham.'!$A$3:$M$54,13,FALSE)</f>
        <v>60943.086045549135</v>
      </c>
      <c r="AD20" s="28">
        <v>0</v>
      </c>
      <c r="AE20" s="28">
        <f>VLOOKUP($A20,'CAPEX - Manut._Desemborracham.'!$A$3:$N$54,14,FALSE)</f>
        <v>60943.086045549135</v>
      </c>
      <c r="AF20" s="28">
        <f>VLOOKUP($A20,'CAPEX - Manutenção_PPD'!$A$3:$J$22,10,FALSE)+VLOOKUP($A20,'CAPEX - Manutenção_PTR_Taxiway'!$A$3:$J$22,10,FALSE)+VLOOKUP($A20,'CAPEX - Manutenção_Pátio'!$A$3:$J$22,10,FALSE)</f>
        <v>242067.46000000002</v>
      </c>
      <c r="AG20" s="28">
        <f>VLOOKUP($A20,'CAPEX - Manut._Desemborracham.'!$A$3:$O$54,15,FALSE)</f>
        <v>60943.086045549135</v>
      </c>
      <c r="AH20" s="28">
        <v>0</v>
      </c>
      <c r="AI20" s="28">
        <f>VLOOKUP($A20,'CAPEX - Manutenção_PPD'!$A$3:$K$22,11,FALSE)+VLOOKUP($A20,'CAPEX - Manutenção_PTR_Taxiway'!$A$3:$K$22,11,FALSE)+VLOOKUP($A20,'CAPEX - Manutenção_Pátio'!$A$3:$K$22,11,FALSE)+VLOOKUP($A20,'CAPEX - Manut._Desemborracham.'!$A$3:$P$54,16,FALSE)</f>
        <v>303010.54604554916</v>
      </c>
      <c r="AJ20" s="28">
        <v>0</v>
      </c>
      <c r="AK20" s="28">
        <f>VLOOKUP($A20,'CAPEX - Manut._Desemborracham.'!$A$3:$Q$54,17,FALSE)</f>
        <v>60943.086045549135</v>
      </c>
      <c r="AL20" s="28">
        <v>0</v>
      </c>
      <c r="AM20" s="28">
        <f t="shared" si="2"/>
        <v>36988222.500683226</v>
      </c>
      <c r="AN20" s="17" t="s">
        <v>151</v>
      </c>
      <c r="AO20" s="29">
        <v>1</v>
      </c>
      <c r="AP20" s="29" t="s">
        <v>97</v>
      </c>
      <c r="AQ20" s="29" t="s">
        <v>97</v>
      </c>
      <c r="AR20" s="29">
        <v>2030</v>
      </c>
      <c r="AS20" s="29" t="s">
        <v>97</v>
      </c>
      <c r="AT20" s="29" t="s">
        <v>97</v>
      </c>
      <c r="AU20" s="29">
        <v>2</v>
      </c>
      <c r="AV20" s="29">
        <f>VLOOKUP($A20,'BASE PAN - CAPEX'!$A$3:$H$22,8,FALSE)</f>
        <v>3</v>
      </c>
    </row>
    <row r="21" spans="1:48" s="17" customFormat="1" x14ac:dyDescent="0.25">
      <c r="A21" s="17" t="s">
        <v>321</v>
      </c>
      <c r="B21" s="30" t="str">
        <f>VLOOKUP(A21,'CAPEX - Navegação Aérea'!$A$3:$B$22,2,FALSE)</f>
        <v>AEROPORTO REGIONAL DE CANOA QUEBRADA DRAGÃO DO MAR</v>
      </c>
      <c r="C21" s="17" t="str">
        <f>VLOOKUP(A21,'[10]FLUXO DE CAIXA DESC.-BLOCOS PAN'!$A$3:$D$251,4,FALSE)</f>
        <v>SBJE230425</v>
      </c>
      <c r="D21" s="17" t="s">
        <v>322</v>
      </c>
      <c r="E21" s="17" t="s">
        <v>323</v>
      </c>
      <c r="F21" s="17" t="s">
        <v>28</v>
      </c>
      <c r="G21" s="17" t="s">
        <v>29</v>
      </c>
      <c r="H21" s="28">
        <f>(VLOOKUP($A21,'BASE PAN - CAPEX'!$A$3:$I$22,9,FALSE)/3)+VLOOKUP($A21,'CAPEX - Manutenção_PPD'!$A$3:$C$22,3,FALSE)+VLOOKUP($A21,'CAPEX - Manutenção_PTR_Taxiway'!$A$3:$C$22,3,FALSE)+VLOOKUP($A21,'CAPEX - Manutenção_Pátio'!$A$3:$C$22,3,FALSE)+VLOOKUP($A21,'CAPEX - Navegação Aérea'!$A$3:$H$22,8,FALSE)</f>
        <v>32192879.440000001</v>
      </c>
      <c r="I21" s="28">
        <f>(VLOOKUP($A21,'BASE PAN - CAPEX'!$A$3:$I$22,9,FALSE)/3)+VLOOKUP($A21,'CAPEX - Manut._Desemborracham.'!$A$3:$C$54,3,FALSE)</f>
        <v>5671379.2188046239</v>
      </c>
      <c r="J21" s="28">
        <f>(VLOOKUP($A21,'BASE PAN - CAPEX'!$A$3:$I$22,9,FALSE)/3)</f>
        <v>5600000</v>
      </c>
      <c r="K21" s="28">
        <f>VLOOKUP($A21,'CAPEX - Manut._Desemborracham.'!$A$3:$D$54,4,FALSE)</f>
        <v>71379.218804624281</v>
      </c>
      <c r="L21" s="28">
        <f>VLOOKUP($A21,'CAPEX - Manutenção_PPD'!$A$3:$D$22,4,FALSE)+VLOOKUP($A21,'CAPEX - Manutenção_PTR_Taxiway'!$A$3:$D$22,4,FALSE)+VLOOKUP($A21,'CAPEX - Manutenção_Pátio'!$A$3:$D$22,4,FALSE)</f>
        <v>336471.86</v>
      </c>
      <c r="M21" s="28">
        <f>VLOOKUP($A21,'CAPEX - Manut._Desemborracham.'!$A$3:$E$54,5,FALSE)</f>
        <v>71379.218804624281</v>
      </c>
      <c r="N21" s="28">
        <v>0</v>
      </c>
      <c r="O21" s="28">
        <f>VLOOKUP($A21,'CAPEX - Manutenção_PPD'!$A$3:$E$22,5,FALSE)+VLOOKUP($A21,'CAPEX - Manutenção_PTR_Taxiway'!$A$3:$E$22,5,FALSE)+VLOOKUP($A21,'CAPEX - Manutenção_Pátio'!$A$3:$E$22,5,FALSE)+VLOOKUP($A21,'CAPEX - Manut._Desemborracham.'!$A$3:$F$54,6,FALSE)</f>
        <v>407851.07880462427</v>
      </c>
      <c r="P21" s="28">
        <v>0</v>
      </c>
      <c r="Q21" s="28">
        <f>VLOOKUP($A21,'CAPEX - Manutenção_PPD'!$A$3:$F$22,6,FALSE)+VLOOKUP($A21,'CAPEX - Manutenção_PTR_Taxiway'!$A$3:$F$22,6,FALSE)+VLOOKUP($A21,'CAPEX - Manutenção_Pátio'!$A$3:$F$22,6,FALSE)+VLOOKUP($A21,'CAPEX - Manut._Desemborracham.'!$A$3:$G$54,7,FALSE)</f>
        <v>13647990.838804623</v>
      </c>
      <c r="R21" s="28">
        <v>0</v>
      </c>
      <c r="S21" s="28">
        <f>VLOOKUP($A21,'CAPEX - Manut._Desemborracham.'!$A$3:$H$54,8,FALSE)</f>
        <v>71379.218804624281</v>
      </c>
      <c r="T21" s="28">
        <v>0</v>
      </c>
      <c r="U21" s="28">
        <f>VLOOKUP($A21,'CAPEX - Manut._Desemborracham.'!$A$3:$I$54,9,FALSE)</f>
        <v>71379.218804624281</v>
      </c>
      <c r="V21" s="28">
        <f>VLOOKUP($A21,'CAPEX - Manutenção_PPD'!$A$3:$G$22,7,FALSE)+VLOOKUP($A21,'CAPEX - Manutenção_PTR_Taxiway'!$A$3:$G$22,7,FALSE)+VLOOKUP($A21,'CAPEX - Manutenção_Pátio'!$A$3:$G$22,7,FALSE)</f>
        <v>17721588.16</v>
      </c>
      <c r="W21" s="28">
        <f>VLOOKUP($A21,'CAPEX - Manut._Desemborracham.'!$A$3:$J$54,10,FALSE)</f>
        <v>71379.218804624281</v>
      </c>
      <c r="X21" s="28">
        <v>0</v>
      </c>
      <c r="Y21" s="28">
        <f>VLOOKUP($A21,'CAPEX - Manutenção_PPD'!$A$3:$H$22,8,FALSE)+VLOOKUP($A21,'CAPEX - Manutenção_PTR_Taxiway'!$A$3:$H$22,8,FALSE)+VLOOKUP($A21,'CAPEX - Manutenção_Pátio'!$A$3:$H$22,8,FALSE)+VLOOKUP($A21,'CAPEX - Manut._Desemborracham.'!$A$3:$K$54,11,FALSE)</f>
        <v>407851.07880462427</v>
      </c>
      <c r="Z21" s="28">
        <v>0</v>
      </c>
      <c r="AA21" s="28">
        <f>VLOOKUP($A21,'CAPEX - Manutenção_PPD'!$A$3:$I$22,9,FALSE)+VLOOKUP($A21,'CAPEX - Manutenção_PTR_Taxiway'!$A$3:$I$22,9,FALSE)+VLOOKUP($A21,'CAPEX - Manutenção_Pátio'!$A$3:$I$22,9,FALSE)+VLOOKUP($A21,'CAPEX - Manut._Desemborracham.'!$A$3:$L$54,12,FALSE)</f>
        <v>13647990.838804623</v>
      </c>
      <c r="AB21" s="28">
        <v>0</v>
      </c>
      <c r="AC21" s="28">
        <f>VLOOKUP($A21,'CAPEX - Manut._Desemborracham.'!$A$3:$M$54,13,FALSE)</f>
        <v>71379.218804624281</v>
      </c>
      <c r="AD21" s="28">
        <v>0</v>
      </c>
      <c r="AE21" s="28">
        <f>VLOOKUP($A21,'CAPEX - Manut._Desemborracham.'!$A$3:$N$54,14,FALSE)</f>
        <v>71379.218804624281</v>
      </c>
      <c r="AF21" s="28">
        <f>VLOOKUP($A21,'CAPEX - Manutenção_PPD'!$A$3:$J$22,10,FALSE)+VLOOKUP($A21,'CAPEX - Manutenção_PTR_Taxiway'!$A$3:$J$22,10,FALSE)+VLOOKUP($A21,'CAPEX - Manutenção_Pátio'!$A$3:$J$22,10,FALSE)</f>
        <v>336471.86</v>
      </c>
      <c r="AG21" s="28">
        <f>VLOOKUP($A21,'CAPEX - Manut._Desemborracham.'!$A$3:$O$54,15,FALSE)</f>
        <v>71379.218804624281</v>
      </c>
      <c r="AH21" s="28">
        <v>0</v>
      </c>
      <c r="AI21" s="28">
        <f>VLOOKUP($A21,'CAPEX - Manutenção_PPD'!$A$3:$K$22,11,FALSE)+VLOOKUP($A21,'CAPEX - Manutenção_PTR_Taxiway'!$A$3:$K$22,11,FALSE)+VLOOKUP($A21,'CAPEX - Manutenção_Pátio'!$A$3:$K$22,11,FALSE)+VLOOKUP($A21,'CAPEX - Manut._Desemborracham.'!$A$3:$P$54,16,FALSE)</f>
        <v>407851.07880462427</v>
      </c>
      <c r="AJ21" s="28">
        <v>0</v>
      </c>
      <c r="AK21" s="28">
        <f>VLOOKUP($A21,'CAPEX - Manut._Desemborracham.'!$A$3:$Q$54,17,FALSE)</f>
        <v>71379.218804624281</v>
      </c>
      <c r="AL21" s="28">
        <v>0</v>
      </c>
      <c r="AM21" s="28">
        <f t="shared" si="2"/>
        <v>91020738.422069401</v>
      </c>
      <c r="AN21" s="17" t="s">
        <v>151</v>
      </c>
      <c r="AO21" s="29">
        <v>4</v>
      </c>
      <c r="AP21" s="29" t="s">
        <v>97</v>
      </c>
      <c r="AQ21" s="29" t="s">
        <v>97</v>
      </c>
      <c r="AR21" s="29" t="s">
        <v>97</v>
      </c>
      <c r="AS21" s="29" t="s">
        <v>97</v>
      </c>
      <c r="AT21" s="29" t="s">
        <v>97</v>
      </c>
      <c r="AU21" s="29" t="s">
        <v>97</v>
      </c>
      <c r="AV21" s="29">
        <f>VLOOKUP($A21,'BASE PAN - CAPEX'!$A$3:$H$22,8,FALSE)</f>
        <v>4</v>
      </c>
    </row>
    <row r="22" spans="1:48" x14ac:dyDescent="0.25">
      <c r="H22" s="27">
        <f t="shared" ref="H22:AM22" si="3">SUBTOTAL(109,H3:H21)</f>
        <v>236682225.27999997</v>
      </c>
      <c r="I22" s="27">
        <f t="shared" si="3"/>
        <v>145623503.72231179</v>
      </c>
      <c r="J22" s="27">
        <f t="shared" si="3"/>
        <v>144685000</v>
      </c>
      <c r="K22" s="27">
        <f t="shared" si="3"/>
        <v>938503.72231178032</v>
      </c>
      <c r="L22" s="27">
        <f t="shared" si="3"/>
        <v>3629923.4699999997</v>
      </c>
      <c r="M22" s="27">
        <f t="shared" si="3"/>
        <v>938503.72231178032</v>
      </c>
      <c r="N22" s="27">
        <f t="shared" si="3"/>
        <v>0</v>
      </c>
      <c r="O22" s="27">
        <f t="shared" si="3"/>
        <v>4568427.1923117805</v>
      </c>
      <c r="P22" s="27">
        <f t="shared" si="3"/>
        <v>0</v>
      </c>
      <c r="Q22" s="27">
        <f t="shared" si="3"/>
        <v>156390390.45231175</v>
      </c>
      <c r="R22" s="27">
        <f t="shared" si="3"/>
        <v>0</v>
      </c>
      <c r="S22" s="27">
        <f t="shared" si="3"/>
        <v>938503.72231178032</v>
      </c>
      <c r="T22" s="27">
        <f t="shared" si="3"/>
        <v>0</v>
      </c>
      <c r="U22" s="27">
        <f t="shared" si="3"/>
        <v>938503.72231178032</v>
      </c>
      <c r="V22" s="27">
        <f t="shared" si="3"/>
        <v>118823404.04000001</v>
      </c>
      <c r="W22" s="27">
        <f t="shared" si="3"/>
        <v>938503.72231178032</v>
      </c>
      <c r="X22" s="27">
        <f t="shared" si="3"/>
        <v>0</v>
      </c>
      <c r="Y22" s="27">
        <f t="shared" si="3"/>
        <v>4568427.1923117805</v>
      </c>
      <c r="Z22" s="27">
        <f t="shared" si="3"/>
        <v>0</v>
      </c>
      <c r="AA22" s="27">
        <f t="shared" si="3"/>
        <v>156390390.45231175</v>
      </c>
      <c r="AB22" s="27">
        <f t="shared" si="3"/>
        <v>0</v>
      </c>
      <c r="AC22" s="27">
        <f t="shared" si="3"/>
        <v>938503.72231178032</v>
      </c>
      <c r="AD22" s="27">
        <f t="shared" si="3"/>
        <v>0</v>
      </c>
      <c r="AE22" s="27">
        <f t="shared" si="3"/>
        <v>938503.72231178032</v>
      </c>
      <c r="AF22" s="27">
        <f t="shared" si="3"/>
        <v>3629923.4699999997</v>
      </c>
      <c r="AG22" s="27">
        <f t="shared" si="3"/>
        <v>938503.72231178032</v>
      </c>
      <c r="AH22" s="27">
        <f t="shared" si="3"/>
        <v>0</v>
      </c>
      <c r="AI22" s="27">
        <f t="shared" si="3"/>
        <v>4568427.1923117805</v>
      </c>
      <c r="AJ22" s="27">
        <f t="shared" si="3"/>
        <v>0</v>
      </c>
      <c r="AK22" s="27">
        <f t="shared" si="3"/>
        <v>938503.72231178032</v>
      </c>
      <c r="AL22" s="27">
        <f t="shared" si="3"/>
        <v>0</v>
      </c>
      <c r="AM22" s="27">
        <f t="shared" si="3"/>
        <v>988006575.96467662</v>
      </c>
    </row>
    <row r="23" spans="1:48" x14ac:dyDescent="0.25">
      <c r="H23" s="27">
        <f>H22</f>
        <v>236682225.27999997</v>
      </c>
      <c r="I23" s="27">
        <f>H23+I22</f>
        <v>382305729.00231177</v>
      </c>
      <c r="J23" s="27">
        <f t="shared" ref="J23:AL23" si="4">I23+J22</f>
        <v>526990729.00231177</v>
      </c>
      <c r="K23" s="27">
        <f t="shared" si="4"/>
        <v>527929232.72462356</v>
      </c>
      <c r="L23" s="27">
        <f t="shared" si="4"/>
        <v>531559156.19462359</v>
      </c>
      <c r="M23" s="27">
        <f t="shared" si="4"/>
        <v>532497659.91693538</v>
      </c>
      <c r="N23" s="27">
        <f t="shared" si="4"/>
        <v>532497659.91693538</v>
      </c>
      <c r="O23" s="27">
        <f t="shared" si="4"/>
        <v>537066087.10924721</v>
      </c>
      <c r="P23" s="27">
        <f t="shared" si="4"/>
        <v>537066087.10924721</v>
      </c>
      <c r="Q23" s="27">
        <f t="shared" si="4"/>
        <v>693456477.56155896</v>
      </c>
      <c r="R23" s="27">
        <f t="shared" si="4"/>
        <v>693456477.56155896</v>
      </c>
      <c r="S23" s="27">
        <f t="shared" si="4"/>
        <v>694394981.2838707</v>
      </c>
      <c r="T23" s="27">
        <f t="shared" si="4"/>
        <v>694394981.2838707</v>
      </c>
      <c r="U23" s="27">
        <f t="shared" si="4"/>
        <v>695333485.00618243</v>
      </c>
      <c r="V23" s="27">
        <f t="shared" si="4"/>
        <v>814156889.04618239</v>
      </c>
      <c r="W23" s="27">
        <f t="shared" si="4"/>
        <v>815095392.76849413</v>
      </c>
      <c r="X23" s="27">
        <f t="shared" si="4"/>
        <v>815095392.76849413</v>
      </c>
      <c r="Y23" s="27">
        <f t="shared" si="4"/>
        <v>819663819.96080589</v>
      </c>
      <c r="Z23" s="27">
        <f t="shared" si="4"/>
        <v>819663819.96080589</v>
      </c>
      <c r="AA23" s="27">
        <f t="shared" si="4"/>
        <v>976054210.41311765</v>
      </c>
      <c r="AB23" s="27">
        <f t="shared" si="4"/>
        <v>976054210.41311765</v>
      </c>
      <c r="AC23" s="27">
        <f t="shared" si="4"/>
        <v>976992714.13542938</v>
      </c>
      <c r="AD23" s="27">
        <f t="shared" si="4"/>
        <v>976992714.13542938</v>
      </c>
      <c r="AE23" s="27">
        <f t="shared" si="4"/>
        <v>977931217.85774112</v>
      </c>
      <c r="AF23" s="27">
        <f t="shared" si="4"/>
        <v>981561141.32774115</v>
      </c>
      <c r="AG23" s="27">
        <f t="shared" si="4"/>
        <v>982499645.05005288</v>
      </c>
      <c r="AH23" s="27">
        <f t="shared" si="4"/>
        <v>982499645.05005288</v>
      </c>
      <c r="AI23" s="27">
        <f t="shared" si="4"/>
        <v>987068072.24236465</v>
      </c>
      <c r="AJ23" s="27">
        <f t="shared" si="4"/>
        <v>987068072.24236465</v>
      </c>
      <c r="AK23" s="27">
        <f t="shared" si="4"/>
        <v>988006575.96467638</v>
      </c>
      <c r="AL23" s="27">
        <f t="shared" si="4"/>
        <v>988006575.96467638</v>
      </c>
    </row>
    <row r="28" spans="1:48" x14ac:dyDescent="0.25">
      <c r="A28" s="23" t="s">
        <v>146</v>
      </c>
    </row>
  </sheetData>
  <autoFilter ref="A2:AU23" xr:uid="{B8509F90-93CF-48CA-B784-D48786497B7D}"/>
  <conditionalFormatting sqref="C3:C16">
    <cfRule type="duplicateValues" dxfId="6" priority="400"/>
  </conditionalFormatting>
  <hyperlinks>
    <hyperlink ref="A28" location="Introdução!A1" display="Introdução!A1" xr:uid="{C94AD04E-617A-42D9-84A3-2943DAF28A68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6034-B2F3-4DF4-8B49-A70A2BCB5D68}">
  <sheetPr codeName="Planilha12">
    <tabColor rgb="FF00B0F0"/>
  </sheetPr>
  <dimension ref="A1:AV28"/>
  <sheetViews>
    <sheetView workbookViewId="0">
      <selection activeCell="A28" sqref="A28"/>
    </sheetView>
  </sheetViews>
  <sheetFormatPr defaultRowHeight="15" x14ac:dyDescent="0.25"/>
  <cols>
    <col min="1" max="1" width="7" bestFit="1" customWidth="1"/>
    <col min="2" max="2" width="22.7109375" customWidth="1"/>
    <col min="3" max="3" width="13.140625" bestFit="1" customWidth="1"/>
    <col min="4" max="4" width="16.42578125" customWidth="1"/>
    <col min="5" max="5" width="3.85546875" bestFit="1" customWidth="1"/>
    <col min="6" max="7" width="11.85546875" customWidth="1"/>
    <col min="8" max="8" width="19.7109375" bestFit="1" customWidth="1"/>
    <col min="9" max="9" width="19.42578125" bestFit="1" customWidth="1"/>
    <col min="10" max="38" width="19.7109375" bestFit="1" customWidth="1"/>
    <col min="39" max="39" width="19.42578125" bestFit="1" customWidth="1"/>
    <col min="40" max="40" width="22.85546875" bestFit="1" customWidth="1"/>
    <col min="41" max="41" width="22.85546875" customWidth="1"/>
    <col min="42" max="42" width="10.7109375" bestFit="1" customWidth="1"/>
    <col min="43" max="43" width="11.42578125" customWidth="1"/>
    <col min="44" max="44" width="11.140625" customWidth="1"/>
    <col min="45" max="45" width="11.140625" bestFit="1" customWidth="1"/>
    <col min="46" max="46" width="11.28515625" customWidth="1"/>
    <col min="47" max="48" width="11.140625" bestFit="1" customWidth="1"/>
  </cols>
  <sheetData>
    <row r="1" spans="1:4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 t="s">
        <v>120</v>
      </c>
      <c r="I1" s="2" t="s">
        <v>120</v>
      </c>
      <c r="J1" s="2" t="s">
        <v>120</v>
      </c>
      <c r="K1" s="2" t="s">
        <v>120</v>
      </c>
      <c r="L1" s="2" t="s">
        <v>120</v>
      </c>
      <c r="M1" s="2" t="s">
        <v>120</v>
      </c>
      <c r="N1" s="2" t="s">
        <v>120</v>
      </c>
      <c r="O1" s="2" t="s">
        <v>120</v>
      </c>
      <c r="P1" s="2" t="s">
        <v>120</v>
      </c>
      <c r="Q1" s="2" t="s">
        <v>120</v>
      </c>
      <c r="R1" s="2" t="s">
        <v>120</v>
      </c>
      <c r="S1" s="2" t="s">
        <v>120</v>
      </c>
      <c r="T1" s="2" t="s">
        <v>120</v>
      </c>
      <c r="U1" s="2" t="s">
        <v>120</v>
      </c>
      <c r="V1" s="2" t="s">
        <v>120</v>
      </c>
      <c r="W1" s="2" t="s">
        <v>120</v>
      </c>
      <c r="X1" s="2" t="s">
        <v>120</v>
      </c>
      <c r="Y1" s="2" t="s">
        <v>120</v>
      </c>
      <c r="Z1" s="2" t="s">
        <v>120</v>
      </c>
      <c r="AA1" s="2" t="s">
        <v>120</v>
      </c>
      <c r="AB1" s="2" t="s">
        <v>120</v>
      </c>
      <c r="AC1" s="2" t="s">
        <v>120</v>
      </c>
      <c r="AD1" s="2" t="s">
        <v>120</v>
      </c>
      <c r="AE1" s="2" t="s">
        <v>120</v>
      </c>
      <c r="AF1" s="2" t="s">
        <v>120</v>
      </c>
      <c r="AG1" s="2" t="s">
        <v>120</v>
      </c>
      <c r="AH1" s="2" t="s">
        <v>120</v>
      </c>
      <c r="AI1" s="2" t="s">
        <v>120</v>
      </c>
      <c r="AJ1" s="2" t="s">
        <v>120</v>
      </c>
      <c r="AK1" s="2" t="s">
        <v>120</v>
      </c>
      <c r="AL1" s="2" t="s">
        <v>120</v>
      </c>
      <c r="AM1" s="2" t="s">
        <v>120</v>
      </c>
      <c r="AN1" s="2" t="s">
        <v>152</v>
      </c>
      <c r="AO1" s="2" t="s">
        <v>295</v>
      </c>
      <c r="AP1" s="2" t="s">
        <v>6</v>
      </c>
      <c r="AQ1" s="2" t="s">
        <v>7</v>
      </c>
      <c r="AR1" s="2"/>
      <c r="AS1" s="2"/>
      <c r="AT1" s="2" t="s">
        <v>8</v>
      </c>
      <c r="AU1" s="2"/>
      <c r="AV1" s="2"/>
    </row>
    <row r="2" spans="1:48" x14ac:dyDescent="0.25">
      <c r="A2" s="26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" t="s">
        <v>9</v>
      </c>
      <c r="H2" s="11">
        <v>1</v>
      </c>
      <c r="I2" s="11">
        <v>2</v>
      </c>
      <c r="J2" s="11">
        <v>3</v>
      </c>
      <c r="K2" s="11">
        <v>4</v>
      </c>
      <c r="L2" s="11">
        <v>5</v>
      </c>
      <c r="M2" s="11">
        <v>6</v>
      </c>
      <c r="N2" s="11">
        <v>7</v>
      </c>
      <c r="O2" s="11">
        <v>8</v>
      </c>
      <c r="P2" s="11">
        <v>9</v>
      </c>
      <c r="Q2" s="11">
        <v>10</v>
      </c>
      <c r="R2" s="11">
        <v>11</v>
      </c>
      <c r="S2" s="11">
        <v>12</v>
      </c>
      <c r="T2" s="11">
        <v>13</v>
      </c>
      <c r="U2" s="11">
        <v>14</v>
      </c>
      <c r="V2" s="11">
        <v>15</v>
      </c>
      <c r="W2" s="11">
        <v>16</v>
      </c>
      <c r="X2" s="11">
        <v>17</v>
      </c>
      <c r="Y2" s="11">
        <v>18</v>
      </c>
      <c r="Z2" s="11">
        <v>19</v>
      </c>
      <c r="AA2" s="11">
        <v>20</v>
      </c>
      <c r="AB2" s="11">
        <v>21</v>
      </c>
      <c r="AC2" s="11">
        <v>22</v>
      </c>
      <c r="AD2" s="11">
        <v>23</v>
      </c>
      <c r="AE2" s="11">
        <v>24</v>
      </c>
      <c r="AF2" s="11">
        <v>25</v>
      </c>
      <c r="AG2" s="11">
        <v>26</v>
      </c>
      <c r="AH2" s="11">
        <v>27</v>
      </c>
      <c r="AI2" s="11">
        <v>28</v>
      </c>
      <c r="AJ2" s="11">
        <v>29</v>
      </c>
      <c r="AK2" s="11">
        <v>30</v>
      </c>
      <c r="AL2" s="11">
        <v>31</v>
      </c>
      <c r="AM2" s="2" t="s">
        <v>121</v>
      </c>
      <c r="AN2" s="26" t="s">
        <v>150</v>
      </c>
      <c r="AO2" s="26" t="s">
        <v>295</v>
      </c>
      <c r="AP2" s="26" t="s">
        <v>6</v>
      </c>
      <c r="AQ2" s="2" t="s">
        <v>21</v>
      </c>
      <c r="AR2" s="2" t="s">
        <v>22</v>
      </c>
      <c r="AS2" s="2" t="s">
        <v>23</v>
      </c>
      <c r="AT2" s="2" t="s">
        <v>21</v>
      </c>
      <c r="AU2" s="2" t="s">
        <v>22</v>
      </c>
      <c r="AV2" s="2" t="s">
        <v>23</v>
      </c>
    </row>
    <row r="3" spans="1:48" x14ac:dyDescent="0.25">
      <c r="A3" t="s">
        <v>36</v>
      </c>
      <c r="B3" t="s">
        <v>37</v>
      </c>
      <c r="C3" t="s">
        <v>38</v>
      </c>
      <c r="D3" t="s">
        <v>37</v>
      </c>
      <c r="E3" t="s">
        <v>24</v>
      </c>
      <c r="F3" t="s">
        <v>28</v>
      </c>
      <c r="G3" t="s">
        <v>29</v>
      </c>
      <c r="H3" s="1">
        <f>(VLOOKUP($A3,'BASE PAN - CAPEX'!$A$3:$I$22,9,FALSE)*$C$25)+VLOOKUP($A3,'CAPEX - Manutenção_PPD'!$A$3:$C$22,3,FALSE)+VLOOKUP($A3,'CAPEX - Manutenção_PTR_Taxiway'!$A$3:$C$22,3,FALSE)+VLOOKUP($A3,'CAPEX - Manutenção_Pátio'!$A$3:$C$22,3,FALSE)+VLOOKUP($A3,'CAPEX - Navegação Aérea'!$A$3:$H$22,8,FALSE)</f>
        <v>83018000</v>
      </c>
      <c r="I3" s="1">
        <f>VLOOKUP($A3,'CAPEX - Manut._Desemborracham.'!$A$3:$C$54,3,FALSE)</f>
        <v>91496.351861098257</v>
      </c>
      <c r="J3" s="1">
        <v>0</v>
      </c>
      <c r="K3" s="1">
        <f>VLOOKUP($A3,'CAPEX - Manut._Desemborracham.'!$A$3:$D$54,4,FALSE)</f>
        <v>91496.351861098257</v>
      </c>
      <c r="L3" s="1">
        <f>VLOOKUP($A3,'CAPEX - Manutenção_PPD'!$A$3:$D$22,4,FALSE)+VLOOKUP($A3,'CAPEX - Manutenção_PTR_Taxiway'!$A$3:$D$22,4,FALSE)+VLOOKUP($A3,'CAPEX - Manutenção_Pátio'!$A$3:$D$22,4,FALSE)</f>
        <v>206657.08</v>
      </c>
      <c r="M3" s="1">
        <f>VLOOKUP($A3,'CAPEX - Manut._Desemborracham.'!$A$3:$E$54,5,FALSE)</f>
        <v>91496.351861098257</v>
      </c>
      <c r="N3" s="1">
        <v>0</v>
      </c>
      <c r="O3" s="1">
        <f>VLOOKUP($A3,'CAPEX - Manutenção_PPD'!$A$3:$E$22,5,FALSE)+VLOOKUP($A3,'CAPEX - Manutenção_PTR_Taxiway'!$A$3:$E$22,5,FALSE)+VLOOKUP($A3,'CAPEX - Manutenção_Pátio'!$A$3:$E$22,5,FALSE)+VLOOKUP($A3,'CAPEX - Manut._Desemborracham.'!$A$3:$F$54,6,FALSE)</f>
        <v>298153.43186109827</v>
      </c>
      <c r="P3" s="1">
        <v>0</v>
      </c>
      <c r="Q3" s="1">
        <f>VLOOKUP($A3,'CAPEX - Manutenção_PPD'!$A$3:$F$22,6,FALSE)+VLOOKUP($A3,'CAPEX - Manutenção_PTR_Taxiway'!$A$3:$F$22,6,FALSE)+VLOOKUP($A3,'CAPEX - Manutenção_Pátio'!$A$3:$F$22,6,FALSE)+VLOOKUP($A3,'CAPEX - Manut._Desemborracham.'!$A$3:$G$54,7,FALSE)</f>
        <v>7654855.6818610979</v>
      </c>
      <c r="R3" s="1">
        <v>0</v>
      </c>
      <c r="S3" s="1">
        <f>VLOOKUP($A3,'CAPEX - Manut._Desemborracham.'!$A$3:$H$54,8,FALSE)</f>
        <v>91496.351861098257</v>
      </c>
      <c r="T3" s="1">
        <v>0</v>
      </c>
      <c r="U3" s="1">
        <f>VLOOKUP($A3,'CAPEX - Manut._Desemborracham.'!$A$3:$I$54,9,FALSE)</f>
        <v>91496.351861098257</v>
      </c>
      <c r="V3" s="1">
        <f>VLOOKUP($A3,'CAPEX - Manutenção_PPD'!$A$3:$G$22,7,FALSE)+VLOOKUP($A3,'CAPEX - Manutenção_PTR_Taxiway'!$A$3:$G$22,7,FALSE)+VLOOKUP($A3,'CAPEX - Manutenção_Pátio'!$A$3:$G$22,7,FALSE)</f>
        <v>5374279.3700000001</v>
      </c>
      <c r="W3" s="1">
        <f>VLOOKUP($A3,'CAPEX - Manut._Desemborracham.'!$A$3:$J$54,10,FALSE)</f>
        <v>91496.351861098257</v>
      </c>
      <c r="X3" s="1">
        <v>0</v>
      </c>
      <c r="Y3" s="1">
        <f>VLOOKUP($A3,'CAPEX - Manutenção_PPD'!$A$3:$H$22,8,FALSE)+VLOOKUP($A3,'CAPEX - Manutenção_PTR_Taxiway'!$A$3:$H$22,8,FALSE)+VLOOKUP($A3,'CAPEX - Manutenção_Pátio'!$A$3:$H$22,8,FALSE)+VLOOKUP($A3,'CAPEX - Manut._Desemborracham.'!$A$3:$K$54,11,FALSE)</f>
        <v>298153.43186109827</v>
      </c>
      <c r="Z3" s="1">
        <v>0</v>
      </c>
      <c r="AA3" s="1">
        <f>VLOOKUP($A3,'CAPEX - Manutenção_PPD'!$A$3:$I$22,9,FALSE)+VLOOKUP($A3,'CAPEX - Manutenção_PTR_Taxiway'!$A$3:$I$22,9,FALSE)+VLOOKUP($A3,'CAPEX - Manutenção_Pátio'!$A$3:$I$22,9,FALSE)+VLOOKUP($A3,'CAPEX - Manut._Desemborracham.'!$A$3:$L$54,12,FALSE)</f>
        <v>7654855.6818610979</v>
      </c>
      <c r="AB3" s="1">
        <v>0</v>
      </c>
      <c r="AC3" s="1">
        <f>VLOOKUP($A3,'CAPEX - Manut._Desemborracham.'!$A$3:$M$54,13,FALSE)</f>
        <v>91496.351861098257</v>
      </c>
      <c r="AD3" s="1">
        <v>0</v>
      </c>
      <c r="AE3" s="1">
        <f>VLOOKUP($A3,'CAPEX - Manut._Desemborracham.'!$A$3:$N$54,14,FALSE)</f>
        <v>91496.351861098257</v>
      </c>
      <c r="AF3" s="1">
        <f>VLOOKUP($A3,'CAPEX - Manutenção_PPD'!$A$3:$J$22,10,FALSE)+VLOOKUP($A3,'CAPEX - Manutenção_PTR_Taxiway'!$A$3:$J$22,10,FALSE)+VLOOKUP($A3,'CAPEX - Manutenção_Pátio'!$A$3:$J$22,10,FALSE)</f>
        <v>206657.08</v>
      </c>
      <c r="AG3" s="1">
        <f>VLOOKUP($A3,'CAPEX - Manut._Desemborracham.'!$A$3:$O$54,15,FALSE)</f>
        <v>91496.351861098257</v>
      </c>
      <c r="AH3" s="1">
        <v>0</v>
      </c>
      <c r="AI3" s="1">
        <f>VLOOKUP($A3,'CAPEX - Manutenção_PPD'!$A$3:$K$22,11,FALSE)+VLOOKUP($A3,'CAPEX - Manutenção_PTR_Taxiway'!$A$3:$K$22,11,FALSE)+VLOOKUP($A3,'CAPEX - Manutenção_Pátio'!$A$3:$K$22,11,FALSE)+VLOOKUP($A3,'CAPEX - Manut._Desemborracham.'!$A$3:$P$54,16,FALSE)</f>
        <v>298153.43186109827</v>
      </c>
      <c r="AJ3" s="1">
        <v>0</v>
      </c>
      <c r="AK3" s="1">
        <f>VLOOKUP($A3,'CAPEX - Manut._Desemborracham.'!$A$3:$Q$54,17,FALSE)</f>
        <v>91496.351861098257</v>
      </c>
      <c r="AL3" s="1">
        <v>0</v>
      </c>
      <c r="AM3" s="1">
        <f t="shared" ref="AM3:AM17" si="0">SUM(H3:AL3)</f>
        <v>105924728.70791656</v>
      </c>
      <c r="AN3" t="str">
        <f>VLOOKUP(C3,'[11]CAPEX - BLOCOS PAN'!$C$3:$AN$249,38,FALSE)</f>
        <v>N</v>
      </c>
      <c r="AO3" s="3">
        <f>VLOOKUP($A3,'BASE PAN - CAPEX'!$A$3:$H$22,8,FALSE)</f>
        <v>3</v>
      </c>
      <c r="AP3" s="3">
        <v>1</v>
      </c>
      <c r="AQ3" s="3" t="s">
        <v>97</v>
      </c>
      <c r="AR3" s="3">
        <v>2045</v>
      </c>
      <c r="AS3" s="3">
        <v>2025</v>
      </c>
      <c r="AT3" s="3" t="s">
        <v>97</v>
      </c>
      <c r="AU3" s="3">
        <v>3</v>
      </c>
      <c r="AV3" s="3">
        <v>2</v>
      </c>
    </row>
    <row r="4" spans="1:48" x14ac:dyDescent="0.25">
      <c r="A4" t="s">
        <v>39</v>
      </c>
      <c r="B4" t="s">
        <v>40</v>
      </c>
      <c r="C4" t="s">
        <v>41</v>
      </c>
      <c r="D4" t="s">
        <v>42</v>
      </c>
      <c r="E4" t="s">
        <v>34</v>
      </c>
      <c r="F4" t="s">
        <v>28</v>
      </c>
      <c r="G4" t="s">
        <v>29</v>
      </c>
      <c r="H4" s="1">
        <f>(VLOOKUP($A4,'BASE PAN - CAPEX'!$A$3:$I$22,9,FALSE)*$C$24)+VLOOKUP($A4,'CAPEX - Manutenção_PPD'!$A$3:$C$22,3,FALSE)+VLOOKUP($A4,'CAPEX - Manutenção_PTR_Taxiway'!$A$3:$C$22,3,FALSE)+VLOOKUP($A4,'CAPEX - Manutenção_Pátio'!$A$3:$C$22,3,FALSE)+VLOOKUP($A4,'CAPEX - Navegação Aérea'!$A$3:$H$22,8,FALSE)</f>
        <v>53831733.100000001</v>
      </c>
      <c r="I4" s="1">
        <f>VLOOKUP($A4,'CAPEX - Manut._Desemborracham.'!$A$3:$C$54,3,FALSE)</f>
        <v>69793.585019895952</v>
      </c>
      <c r="J4" s="1">
        <v>0</v>
      </c>
      <c r="K4" s="1">
        <f>VLOOKUP($A4,'CAPEX - Manut._Desemborracham.'!$A$3:$D$54,4,FALSE)</f>
        <v>69793.585019895952</v>
      </c>
      <c r="L4" s="1">
        <f>VLOOKUP($A4,'CAPEX - Manutenção_PPD'!$A$3:$D$22,4,FALSE)+VLOOKUP($A4,'CAPEX - Manutenção_PTR_Taxiway'!$A$3:$D$22,4,FALSE)+VLOOKUP($A4,'CAPEX - Manutenção_Pátio'!$A$3:$D$22,4,FALSE)</f>
        <v>208895.29</v>
      </c>
      <c r="M4" s="1">
        <f>VLOOKUP($A4,'CAPEX - Manut._Desemborracham.'!$A$3:$E$54,5,FALSE)</f>
        <v>69793.585019895952</v>
      </c>
      <c r="N4" s="1">
        <v>0</v>
      </c>
      <c r="O4" s="1">
        <f>VLOOKUP($A4,'CAPEX - Manutenção_PPD'!$A$3:$E$22,5,FALSE)+VLOOKUP($A4,'CAPEX - Manutenção_PTR_Taxiway'!$A$3:$E$22,5,FALSE)+VLOOKUP($A4,'CAPEX - Manutenção_Pátio'!$A$3:$E$22,5,FALSE)+VLOOKUP($A4,'CAPEX - Manut._Desemborracham.'!$A$3:$F$54,6,FALSE)</f>
        <v>278688.87501989596</v>
      </c>
      <c r="P4" s="1">
        <v>0</v>
      </c>
      <c r="Q4" s="1">
        <f>VLOOKUP($A4,'CAPEX - Manutenção_PPD'!$A$3:$F$22,6,FALSE)+VLOOKUP($A4,'CAPEX - Manutenção_PTR_Taxiway'!$A$3:$F$22,6,FALSE)+VLOOKUP($A4,'CAPEX - Manutenção_Pátio'!$A$3:$F$22,6,FALSE)+VLOOKUP($A4,'CAPEX - Manut._Desemborracham.'!$A$3:$G$54,7,FALSE)</f>
        <v>8184477.6350198956</v>
      </c>
      <c r="R4" s="1">
        <v>0</v>
      </c>
      <c r="S4" s="1">
        <f>VLOOKUP($A4,'CAPEX - Manut._Desemborracham.'!$A$3:$H$54,8,FALSE)</f>
        <v>69793.585019895952</v>
      </c>
      <c r="T4" s="1">
        <v>0</v>
      </c>
      <c r="U4" s="1">
        <f>VLOOKUP($A4,'CAPEX - Manut._Desemborracham.'!$A$3:$I$54,9,FALSE)</f>
        <v>69793.585019895952</v>
      </c>
      <c r="V4" s="1">
        <f>VLOOKUP($A4,'CAPEX - Manutenção_PPD'!$A$3:$G$22,7,FALSE)+VLOOKUP($A4,'CAPEX - Manutenção_PTR_Taxiway'!$A$3:$G$22,7,FALSE)+VLOOKUP($A4,'CAPEX - Manutenção_Pátio'!$A$3:$G$22,7,FALSE)</f>
        <v>8131778.9900000002</v>
      </c>
      <c r="W4" s="1">
        <f>VLOOKUP($A4,'CAPEX - Manut._Desemborracham.'!$A$3:$J$54,10,FALSE)</f>
        <v>69793.585019895952</v>
      </c>
      <c r="X4" s="1">
        <v>0</v>
      </c>
      <c r="Y4" s="1">
        <f>VLOOKUP($A4,'CAPEX - Manutenção_PPD'!$A$3:$H$22,8,FALSE)+VLOOKUP($A4,'CAPEX - Manutenção_PTR_Taxiway'!$A$3:$H$22,8,FALSE)+VLOOKUP($A4,'CAPEX - Manutenção_Pátio'!$A$3:$H$22,8,FALSE)+VLOOKUP($A4,'CAPEX - Manut._Desemborracham.'!$A$3:$K$54,11,FALSE)</f>
        <v>278688.87501989596</v>
      </c>
      <c r="Z4" s="1">
        <v>0</v>
      </c>
      <c r="AA4" s="1">
        <f>VLOOKUP($A4,'CAPEX - Manutenção_PPD'!$A$3:$I$22,9,FALSE)+VLOOKUP($A4,'CAPEX - Manutenção_PTR_Taxiway'!$A$3:$I$22,9,FALSE)+VLOOKUP($A4,'CAPEX - Manutenção_Pátio'!$A$3:$I$22,9,FALSE)+VLOOKUP($A4,'CAPEX - Manut._Desemborracham.'!$A$3:$L$54,12,FALSE)</f>
        <v>8184477.6350198956</v>
      </c>
      <c r="AB4" s="1">
        <v>0</v>
      </c>
      <c r="AC4" s="1">
        <f>VLOOKUP($A4,'CAPEX - Manut._Desemborracham.'!$A$3:$M$54,13,FALSE)</f>
        <v>69793.585019895952</v>
      </c>
      <c r="AD4" s="1">
        <v>0</v>
      </c>
      <c r="AE4" s="1">
        <f>VLOOKUP($A4,'CAPEX - Manut._Desemborracham.'!$A$3:$N$54,14,FALSE)</f>
        <v>69793.585019895952</v>
      </c>
      <c r="AF4" s="1">
        <f>VLOOKUP($A4,'CAPEX - Manutenção_PPD'!$A$3:$J$22,10,FALSE)+VLOOKUP($A4,'CAPEX - Manutenção_PTR_Taxiway'!$A$3:$J$22,10,FALSE)+VLOOKUP($A4,'CAPEX - Manutenção_Pátio'!$A$3:$J$22,10,FALSE)</f>
        <v>208895.29</v>
      </c>
      <c r="AG4" s="1">
        <f>VLOOKUP($A4,'CAPEX - Manut._Desemborracham.'!$A$3:$O$54,15,FALSE)</f>
        <v>69793.585019895952</v>
      </c>
      <c r="AH4" s="1">
        <v>0</v>
      </c>
      <c r="AI4" s="1">
        <f>VLOOKUP($A4,'CAPEX - Manutenção_PPD'!$A$3:$K$22,11,FALSE)+VLOOKUP($A4,'CAPEX - Manutenção_PTR_Taxiway'!$A$3:$K$22,11,FALSE)+VLOOKUP($A4,'CAPEX - Manutenção_Pátio'!$A$3:$K$22,11,FALSE)+VLOOKUP($A4,'CAPEX - Manut._Desemborracham.'!$A$3:$P$54,16,FALSE)</f>
        <v>278688.87501989596</v>
      </c>
      <c r="AJ4" s="1">
        <v>0</v>
      </c>
      <c r="AK4" s="1">
        <f>VLOOKUP($A4,'CAPEX - Manut._Desemborracham.'!$A$3:$Q$54,17,FALSE)</f>
        <v>69793.585019895952</v>
      </c>
      <c r="AL4" s="1">
        <v>0</v>
      </c>
      <c r="AM4" s="1">
        <f t="shared" si="0"/>
        <v>80284260.415298462</v>
      </c>
      <c r="AN4" t="str">
        <f>VLOOKUP(C4,'[11]CAPEX - BLOCOS PAN'!$C$3:$AN$249,38,FALSE)</f>
        <v>NE e CO</v>
      </c>
      <c r="AO4" s="3">
        <f>VLOOKUP($A4,'BASE PAN - CAPEX'!$A$3:$H$22,8,FALSE)</f>
        <v>3</v>
      </c>
      <c r="AP4" s="3">
        <v>1</v>
      </c>
      <c r="AQ4" s="3" t="s">
        <v>97</v>
      </c>
      <c r="AR4" s="3">
        <v>2039</v>
      </c>
      <c r="AS4" s="3">
        <v>2025</v>
      </c>
      <c r="AT4" s="3" t="s">
        <v>97</v>
      </c>
      <c r="AU4" s="3">
        <v>3</v>
      </c>
      <c r="AV4" s="3">
        <v>2</v>
      </c>
    </row>
    <row r="5" spans="1:48" x14ac:dyDescent="0.25">
      <c r="A5" t="s">
        <v>43</v>
      </c>
      <c r="B5" t="s">
        <v>44</v>
      </c>
      <c r="C5" t="s">
        <v>45</v>
      </c>
      <c r="D5" t="s">
        <v>44</v>
      </c>
      <c r="E5" t="s">
        <v>30</v>
      </c>
      <c r="F5" t="s">
        <v>28</v>
      </c>
      <c r="G5" t="s">
        <v>29</v>
      </c>
      <c r="H5" s="1">
        <f>(VLOOKUP($A5,'BASE PAN - CAPEX'!$A$3:$I$22,9,FALSE)*$C$25)+VLOOKUP($A5,'CAPEX - Manutenção_PPD'!$A$3:$C$22,3,FALSE)+VLOOKUP($A5,'CAPEX - Manutenção_PTR_Taxiway'!$A$3:$C$22,3,FALSE)+VLOOKUP($A5,'CAPEX - Manutenção_Pátio'!$A$3:$C$22,3,FALSE)+VLOOKUP($A5,'CAPEX - Navegação Aérea'!$A$3:$H$22,8,FALSE)</f>
        <v>35630020.620000005</v>
      </c>
      <c r="I5" s="1">
        <f>VLOOKUP($A5,'CAPEX - Manut._Desemborracham.'!$A$3:$C$54,3,FALSE)</f>
        <v>0</v>
      </c>
      <c r="J5" s="1">
        <v>0</v>
      </c>
      <c r="K5" s="1">
        <f>VLOOKUP($A5,'CAPEX - Manut._Desemborracham.'!$A$3:$D$54,4,FALSE)</f>
        <v>0</v>
      </c>
      <c r="L5" s="1">
        <f>VLOOKUP($A5,'CAPEX - Manutenção_PPD'!$A$3:$D$22,4,FALSE)+VLOOKUP($A5,'CAPEX - Manutenção_PTR_Taxiway'!$A$3:$D$22,4,FALSE)+VLOOKUP($A5,'CAPEX - Manutenção_Pátio'!$A$3:$D$22,4,FALSE)</f>
        <v>197174.36000000002</v>
      </c>
      <c r="M5" s="1">
        <f>VLOOKUP($A5,'CAPEX - Manut._Desemborracham.'!$A$3:$E$54,5,FALSE)</f>
        <v>0</v>
      </c>
      <c r="N5" s="1">
        <v>0</v>
      </c>
      <c r="O5" s="1">
        <f>VLOOKUP($A5,'CAPEX - Manutenção_PPD'!$A$3:$E$22,5,FALSE)+VLOOKUP($A5,'CAPEX - Manutenção_PTR_Taxiway'!$A$3:$E$22,5,FALSE)+VLOOKUP($A5,'CAPEX - Manutenção_Pátio'!$A$3:$E$22,5,FALSE)+VLOOKUP($A5,'CAPEX - Manut._Desemborracham.'!$A$3:$F$54,6,FALSE)</f>
        <v>197174.36000000002</v>
      </c>
      <c r="P5" s="1">
        <v>0</v>
      </c>
      <c r="Q5" s="1">
        <f>VLOOKUP($A5,'CAPEX - Manutenção_PPD'!$A$3:$F$22,6,FALSE)+VLOOKUP($A5,'CAPEX - Manutenção_PTR_Taxiway'!$A$3:$F$22,6,FALSE)+VLOOKUP($A5,'CAPEX - Manutenção_Pátio'!$A$3:$F$22,6,FALSE)+VLOOKUP($A5,'CAPEX - Manut._Desemborracham.'!$A$3:$G$54,7,FALSE)</f>
        <v>7571378.1800000006</v>
      </c>
      <c r="R5" s="1">
        <v>0</v>
      </c>
      <c r="S5" s="1">
        <f>VLOOKUP($A5,'CAPEX - Manut._Desemborracham.'!$A$3:$H$54,8,FALSE)</f>
        <v>0</v>
      </c>
      <c r="T5" s="1">
        <v>0</v>
      </c>
      <c r="U5" s="1">
        <f>VLOOKUP($A5,'CAPEX - Manut._Desemborracham.'!$A$3:$I$54,9,FALSE)</f>
        <v>0</v>
      </c>
      <c r="V5" s="1">
        <f>VLOOKUP($A5,'CAPEX - Manutenção_PPD'!$A$3:$G$22,7,FALSE)+VLOOKUP($A5,'CAPEX - Manutenção_PTR_Taxiway'!$A$3:$G$22,7,FALSE)+VLOOKUP($A5,'CAPEX - Manutenção_Pátio'!$A$3:$G$22,7,FALSE)</f>
        <v>5421309.0199999996</v>
      </c>
      <c r="W5" s="1">
        <f>VLOOKUP($A5,'CAPEX - Manut._Desemborracham.'!$A$3:$J$54,10,FALSE)</f>
        <v>0</v>
      </c>
      <c r="X5" s="1">
        <v>0</v>
      </c>
      <c r="Y5" s="1">
        <f>VLOOKUP($A5,'CAPEX - Manutenção_PPD'!$A$3:$H$22,8,FALSE)+VLOOKUP($A5,'CAPEX - Manutenção_PTR_Taxiway'!$A$3:$H$22,8,FALSE)+VLOOKUP($A5,'CAPEX - Manutenção_Pátio'!$A$3:$H$22,8,FALSE)+VLOOKUP($A5,'CAPEX - Manut._Desemborracham.'!$A$3:$K$54,11,FALSE)</f>
        <v>197174.36000000002</v>
      </c>
      <c r="Z5" s="1">
        <v>0</v>
      </c>
      <c r="AA5" s="1">
        <f>VLOOKUP($A5,'CAPEX - Manutenção_PPD'!$A$3:$I$22,9,FALSE)+VLOOKUP($A5,'CAPEX - Manutenção_PTR_Taxiway'!$A$3:$I$22,9,FALSE)+VLOOKUP($A5,'CAPEX - Manutenção_Pátio'!$A$3:$I$22,9,FALSE)+VLOOKUP($A5,'CAPEX - Manut._Desemborracham.'!$A$3:$L$54,12,FALSE)</f>
        <v>7571378.1800000006</v>
      </c>
      <c r="AB5" s="1">
        <v>0</v>
      </c>
      <c r="AC5" s="1">
        <f>VLOOKUP($A5,'CAPEX - Manut._Desemborracham.'!$A$3:$M$54,13,FALSE)</f>
        <v>0</v>
      </c>
      <c r="AD5" s="1">
        <v>0</v>
      </c>
      <c r="AE5" s="1">
        <f>VLOOKUP($A5,'CAPEX - Manut._Desemborracham.'!$A$3:$N$54,14,FALSE)</f>
        <v>0</v>
      </c>
      <c r="AF5" s="1">
        <f>VLOOKUP($A5,'CAPEX - Manutenção_PPD'!$A$3:$J$22,10,FALSE)+VLOOKUP($A5,'CAPEX - Manutenção_PTR_Taxiway'!$A$3:$J$22,10,FALSE)+VLOOKUP($A5,'CAPEX - Manutenção_Pátio'!$A$3:$J$22,10,FALSE)</f>
        <v>197174.36000000002</v>
      </c>
      <c r="AG5" s="1">
        <f>VLOOKUP($A5,'CAPEX - Manut._Desemborracham.'!$A$3:$O$54,15,FALSE)</f>
        <v>0</v>
      </c>
      <c r="AH5" s="1">
        <v>0</v>
      </c>
      <c r="AI5" s="1">
        <f>VLOOKUP($A5,'CAPEX - Manutenção_PPD'!$A$3:$K$22,11,FALSE)+VLOOKUP($A5,'CAPEX - Manutenção_PTR_Taxiway'!$A$3:$K$22,11,FALSE)+VLOOKUP($A5,'CAPEX - Manutenção_Pátio'!$A$3:$K$22,11,FALSE)+VLOOKUP($A5,'CAPEX - Manut._Desemborracham.'!$A$3:$P$54,16,FALSE)</f>
        <v>197174.36000000002</v>
      </c>
      <c r="AJ5" s="1">
        <v>0</v>
      </c>
      <c r="AK5" s="1">
        <f>VLOOKUP($A5,'CAPEX - Manut._Desemborracham.'!$A$3:$Q$54,17,FALSE)</f>
        <v>0</v>
      </c>
      <c r="AL5" s="1">
        <v>0</v>
      </c>
      <c r="AM5" s="1">
        <f t="shared" si="0"/>
        <v>57179957.800000004</v>
      </c>
      <c r="AN5" t="str">
        <f>VLOOKUP(C5,'[11]CAPEX - BLOCOS PAN'!$C$3:$AN$249,38,FALSE)</f>
        <v>N</v>
      </c>
      <c r="AO5" s="3">
        <f>VLOOKUP($A5,'BASE PAN - CAPEX'!$A$3:$H$22,8,FALSE)</f>
        <v>1</v>
      </c>
      <c r="AP5" s="3">
        <v>0</v>
      </c>
      <c r="AQ5" s="3" t="s">
        <v>97</v>
      </c>
      <c r="AR5" s="3" t="s">
        <v>97</v>
      </c>
      <c r="AS5" s="3">
        <v>2026</v>
      </c>
      <c r="AT5" s="3" t="s">
        <v>97</v>
      </c>
      <c r="AU5" s="3" t="s">
        <v>97</v>
      </c>
      <c r="AV5" s="3">
        <v>1</v>
      </c>
    </row>
    <row r="6" spans="1:48" x14ac:dyDescent="0.25">
      <c r="A6" t="s">
        <v>47</v>
      </c>
      <c r="B6" t="s">
        <v>48</v>
      </c>
      <c r="C6" t="s">
        <v>49</v>
      </c>
      <c r="D6" t="s">
        <v>48</v>
      </c>
      <c r="E6" t="s">
        <v>30</v>
      </c>
      <c r="F6" t="s">
        <v>28</v>
      </c>
      <c r="G6" t="s">
        <v>29</v>
      </c>
      <c r="H6" s="1">
        <f>(VLOOKUP($A6,'BASE PAN - CAPEX'!$A$3:$I$22,9,FALSE)*$C$25)+VLOOKUP($A6,'CAPEX - Manutenção_PPD'!$A$3:$C$22,3,FALSE)+VLOOKUP($A6,'CAPEX - Manutenção_PTR_Taxiway'!$A$3:$C$22,3,FALSE)+VLOOKUP($A6,'CAPEX - Manutenção_Pátio'!$A$3:$C$22,3,FALSE)+VLOOKUP($A6,'CAPEX - Navegação Aérea'!$A$3:$H$22,8,FALSE)</f>
        <v>106866443.67</v>
      </c>
      <c r="I6" s="1">
        <f>VLOOKUP($A6,'CAPEX - Manut._Desemborracham.'!$A$3:$C$54,3,FALSE)</f>
        <v>99085.216523757219</v>
      </c>
      <c r="J6" s="1">
        <v>0</v>
      </c>
      <c r="K6" s="1">
        <f>VLOOKUP($A6,'CAPEX - Manut._Desemborracham.'!$A$3:$D$54,4,FALSE)</f>
        <v>99085.216523757219</v>
      </c>
      <c r="L6" s="1">
        <f>VLOOKUP($A6,'CAPEX - Manutenção_PPD'!$A$3:$D$22,4,FALSE)+VLOOKUP($A6,'CAPEX - Manutenção_PTR_Taxiway'!$A$3:$D$22,4,FALSE)+VLOOKUP($A6,'CAPEX - Manutenção_Pátio'!$A$3:$D$22,4,FALSE)</f>
        <v>220914.91999999998</v>
      </c>
      <c r="M6" s="1">
        <f>VLOOKUP($A6,'CAPEX - Manut._Desemborracham.'!$A$3:$E$54,5,FALSE)</f>
        <v>99085.216523757219</v>
      </c>
      <c r="N6" s="1">
        <v>0</v>
      </c>
      <c r="O6" s="1">
        <f>VLOOKUP($A6,'CAPEX - Manutenção_PPD'!$A$3:$E$22,5,FALSE)+VLOOKUP($A6,'CAPEX - Manutenção_PTR_Taxiway'!$A$3:$E$22,5,FALSE)+VLOOKUP($A6,'CAPEX - Manutenção_Pátio'!$A$3:$E$22,5,FALSE)+VLOOKUP($A6,'CAPEX - Manut._Desemborracham.'!$A$3:$F$54,6,FALSE)</f>
        <v>320000.13652375719</v>
      </c>
      <c r="P6" s="1">
        <v>0</v>
      </c>
      <c r="Q6" s="1">
        <f>VLOOKUP($A6,'CAPEX - Manutenção_PPD'!$A$3:$F$22,6,FALSE)+VLOOKUP($A6,'CAPEX - Manutenção_PTR_Taxiway'!$A$3:$F$22,6,FALSE)+VLOOKUP($A6,'CAPEX - Manutenção_Pátio'!$A$3:$F$22,6,FALSE)+VLOOKUP($A6,'CAPEX - Manut._Desemborracham.'!$A$3:$G$54,7,FALSE)</f>
        <v>9069495.9465237577</v>
      </c>
      <c r="R6" s="1">
        <v>0</v>
      </c>
      <c r="S6" s="1">
        <f>VLOOKUP($A6,'CAPEX - Manut._Desemborracham.'!$A$3:$H$54,8,FALSE)</f>
        <v>99085.216523757219</v>
      </c>
      <c r="T6" s="1">
        <v>0</v>
      </c>
      <c r="U6" s="1">
        <f>VLOOKUP($A6,'CAPEX - Manut._Desemborracham.'!$A$3:$I$54,9,FALSE)</f>
        <v>99085.216523757219</v>
      </c>
      <c r="V6" s="1">
        <f>VLOOKUP($A6,'CAPEX - Manutenção_PPD'!$A$3:$G$22,7,FALSE)+VLOOKUP($A6,'CAPEX - Manutenção_PTR_Taxiway'!$A$3:$G$22,7,FALSE)+VLOOKUP($A6,'CAPEX - Manutenção_Pátio'!$A$3:$G$22,7,FALSE)</f>
        <v>5407129.9800000004</v>
      </c>
      <c r="W6" s="1">
        <f>VLOOKUP($A6,'CAPEX - Manut._Desemborracham.'!$A$3:$J$54,10,FALSE)</f>
        <v>99085.216523757219</v>
      </c>
      <c r="X6" s="1">
        <v>0</v>
      </c>
      <c r="Y6" s="1">
        <f>VLOOKUP($A6,'CAPEX - Manutenção_PPD'!$A$3:$H$22,8,FALSE)+VLOOKUP($A6,'CAPEX - Manutenção_PTR_Taxiway'!$A$3:$H$22,8,FALSE)+VLOOKUP($A6,'CAPEX - Manutenção_Pátio'!$A$3:$H$22,8,FALSE)+VLOOKUP($A6,'CAPEX - Manut._Desemborracham.'!$A$3:$K$54,11,FALSE)</f>
        <v>320000.13652375719</v>
      </c>
      <c r="Z6" s="1">
        <v>0</v>
      </c>
      <c r="AA6" s="1">
        <f>VLOOKUP($A6,'CAPEX - Manutenção_PPD'!$A$3:$I$22,9,FALSE)+VLOOKUP($A6,'CAPEX - Manutenção_PTR_Taxiway'!$A$3:$I$22,9,FALSE)+VLOOKUP($A6,'CAPEX - Manutenção_Pátio'!$A$3:$I$22,9,FALSE)+VLOOKUP($A6,'CAPEX - Manut._Desemborracham.'!$A$3:$L$54,12,FALSE)</f>
        <v>9069495.9465237577</v>
      </c>
      <c r="AB6" s="1">
        <v>0</v>
      </c>
      <c r="AC6" s="1">
        <f>VLOOKUP($A6,'CAPEX - Manut._Desemborracham.'!$A$3:$M$54,13,FALSE)</f>
        <v>99085.216523757219</v>
      </c>
      <c r="AD6" s="1">
        <v>0</v>
      </c>
      <c r="AE6" s="1">
        <f>VLOOKUP($A6,'CAPEX - Manut._Desemborracham.'!$A$3:$N$54,14,FALSE)</f>
        <v>99085.216523757219</v>
      </c>
      <c r="AF6" s="1">
        <f>VLOOKUP($A6,'CAPEX - Manutenção_PPD'!$A$3:$J$22,10,FALSE)+VLOOKUP($A6,'CAPEX - Manutenção_PTR_Taxiway'!$A$3:$J$22,10,FALSE)+VLOOKUP($A6,'CAPEX - Manutenção_Pátio'!$A$3:$J$22,10,FALSE)</f>
        <v>220914.91999999998</v>
      </c>
      <c r="AG6" s="1">
        <f>VLOOKUP($A6,'CAPEX - Manut._Desemborracham.'!$A$3:$O$54,15,FALSE)</f>
        <v>99085.216523757219</v>
      </c>
      <c r="AH6" s="1">
        <v>0</v>
      </c>
      <c r="AI6" s="1">
        <f>VLOOKUP($A6,'CAPEX - Manutenção_PPD'!$A$3:$K$22,11,FALSE)+VLOOKUP($A6,'CAPEX - Manutenção_PTR_Taxiway'!$A$3:$K$22,11,FALSE)+VLOOKUP($A6,'CAPEX - Manutenção_Pátio'!$A$3:$K$22,11,FALSE)+VLOOKUP($A6,'CAPEX - Manut._Desemborracham.'!$A$3:$P$54,16,FALSE)</f>
        <v>320000.13652375719</v>
      </c>
      <c r="AJ6" s="1">
        <v>0</v>
      </c>
      <c r="AK6" s="1">
        <f>VLOOKUP($A6,'CAPEX - Manut._Desemborracham.'!$A$3:$Q$54,17,FALSE)</f>
        <v>99085.216523757219</v>
      </c>
      <c r="AL6" s="1">
        <v>0</v>
      </c>
      <c r="AM6" s="1">
        <f t="shared" si="0"/>
        <v>132805247.9578563</v>
      </c>
      <c r="AN6" t="str">
        <f>VLOOKUP(C6,'[11]CAPEX - BLOCOS PAN'!$C$3:$AN$249,38,FALSE)</f>
        <v>N</v>
      </c>
      <c r="AO6" s="3">
        <f>VLOOKUP($A6,'BASE PAN - CAPEX'!$A$3:$H$22,8,FALSE)</f>
        <v>3</v>
      </c>
      <c r="AP6" s="3">
        <v>3</v>
      </c>
      <c r="AQ6" s="3" t="s">
        <v>97</v>
      </c>
      <c r="AR6" s="3" t="s">
        <v>97</v>
      </c>
      <c r="AS6" s="3" t="s">
        <v>97</v>
      </c>
      <c r="AT6" s="3" t="s">
        <v>97</v>
      </c>
      <c r="AU6" s="3" t="s">
        <v>97</v>
      </c>
      <c r="AV6" s="3" t="s">
        <v>97</v>
      </c>
    </row>
    <row r="7" spans="1:48" x14ac:dyDescent="0.25">
      <c r="A7" t="s">
        <v>50</v>
      </c>
      <c r="B7" t="s">
        <v>51</v>
      </c>
      <c r="C7" t="s">
        <v>52</v>
      </c>
      <c r="D7" t="s">
        <v>51</v>
      </c>
      <c r="E7" t="s">
        <v>35</v>
      </c>
      <c r="F7" t="s">
        <v>28</v>
      </c>
      <c r="G7" t="s">
        <v>29</v>
      </c>
      <c r="H7" s="1">
        <f>(VLOOKUP($A7,'BASE PAN - CAPEX'!$A$3:$I$22,9,FALSE)*$C$25)+VLOOKUP($A7,'CAPEX - Manutenção_PPD'!$A$3:$C$22,3,FALSE)+VLOOKUP($A7,'CAPEX - Manutenção_PTR_Taxiway'!$A$3:$C$22,3,FALSE)+VLOOKUP($A7,'CAPEX - Manutenção_Pátio'!$A$3:$C$22,3,FALSE)+VLOOKUP($A7,'CAPEX - Navegação Aérea'!$A$3:$H$22,8,FALSE)</f>
        <v>58986443.670000002</v>
      </c>
      <c r="I7" s="1">
        <f>VLOOKUP($A7,'CAPEX - Manut._Desemborracham.'!$A$3:$C$54,3,FALSE)</f>
        <v>0</v>
      </c>
      <c r="J7" s="1">
        <v>0</v>
      </c>
      <c r="K7" s="1">
        <f>VLOOKUP($A7,'CAPEX - Manut._Desemborracham.'!$A$3:$D$54,4,FALSE)</f>
        <v>0</v>
      </c>
      <c r="L7" s="1">
        <f>VLOOKUP($A7,'CAPEX - Manutenção_PPD'!$A$3:$D$22,4,FALSE)+VLOOKUP($A7,'CAPEX - Manutenção_PTR_Taxiway'!$A$3:$D$22,4,FALSE)+VLOOKUP($A7,'CAPEX - Manutenção_Pátio'!$A$3:$D$22,4,FALSE)</f>
        <v>180113.9</v>
      </c>
      <c r="M7" s="1">
        <f>VLOOKUP($A7,'CAPEX - Manut._Desemborracham.'!$A$3:$E$54,5,FALSE)</f>
        <v>0</v>
      </c>
      <c r="N7" s="1">
        <v>0</v>
      </c>
      <c r="O7" s="1">
        <f>VLOOKUP($A7,'CAPEX - Manutenção_PPD'!$A$3:$E$22,5,FALSE)+VLOOKUP($A7,'CAPEX - Manutenção_PTR_Taxiway'!$A$3:$E$22,5,FALSE)+VLOOKUP($A7,'CAPEX - Manutenção_Pátio'!$A$3:$E$22,5,FALSE)+VLOOKUP($A7,'CAPEX - Manut._Desemborracham.'!$A$3:$F$54,6,FALSE)</f>
        <v>180113.9</v>
      </c>
      <c r="P7" s="1">
        <v>0</v>
      </c>
      <c r="Q7" s="1">
        <f>VLOOKUP($A7,'CAPEX - Manutenção_PPD'!$A$3:$F$22,6,FALSE)+VLOOKUP($A7,'CAPEX - Manutenção_PTR_Taxiway'!$A$3:$F$22,6,FALSE)+VLOOKUP($A7,'CAPEX - Manutenção_Pátio'!$A$3:$F$22,6,FALSE)+VLOOKUP($A7,'CAPEX - Manut._Desemborracham.'!$A$3:$G$54,7,FALSE)</f>
        <v>6208416.25</v>
      </c>
      <c r="R7" s="1">
        <v>0</v>
      </c>
      <c r="S7" s="1">
        <f>VLOOKUP($A7,'CAPEX - Manut._Desemborracham.'!$A$3:$H$54,8,FALSE)</f>
        <v>0</v>
      </c>
      <c r="T7" s="1">
        <v>0</v>
      </c>
      <c r="U7" s="1">
        <f>VLOOKUP($A7,'CAPEX - Manut._Desemborracham.'!$A$3:$I$54,9,FALSE)</f>
        <v>0</v>
      </c>
      <c r="V7" s="1">
        <f>VLOOKUP($A7,'CAPEX - Manutenção_PPD'!$A$3:$G$22,7,FALSE)+VLOOKUP($A7,'CAPEX - Manutenção_PTR_Taxiway'!$A$3:$G$22,7,FALSE)+VLOOKUP($A7,'CAPEX - Manutenção_Pátio'!$A$3:$G$22,7,FALSE)</f>
        <v>6887729.2200000007</v>
      </c>
      <c r="W7" s="1">
        <f>VLOOKUP($A7,'CAPEX - Manut._Desemborracham.'!$A$3:$J$54,10,FALSE)</f>
        <v>0</v>
      </c>
      <c r="X7" s="1">
        <v>0</v>
      </c>
      <c r="Y7" s="1">
        <f>VLOOKUP($A7,'CAPEX - Manutenção_PPD'!$A$3:$H$22,8,FALSE)+VLOOKUP($A7,'CAPEX - Manutenção_PTR_Taxiway'!$A$3:$H$22,8,FALSE)+VLOOKUP($A7,'CAPEX - Manutenção_Pátio'!$A$3:$H$22,8,FALSE)+VLOOKUP($A7,'CAPEX - Manut._Desemborracham.'!$A$3:$K$54,11,FALSE)</f>
        <v>180113.9</v>
      </c>
      <c r="Z7" s="1">
        <v>0</v>
      </c>
      <c r="AA7" s="1">
        <f>VLOOKUP($A7,'CAPEX - Manutenção_PPD'!$A$3:$I$22,9,FALSE)+VLOOKUP($A7,'CAPEX - Manutenção_PTR_Taxiway'!$A$3:$I$22,9,FALSE)+VLOOKUP($A7,'CAPEX - Manutenção_Pátio'!$A$3:$I$22,9,FALSE)+VLOOKUP($A7,'CAPEX - Manut._Desemborracham.'!$A$3:$L$54,12,FALSE)</f>
        <v>6208416.25</v>
      </c>
      <c r="AB7" s="1">
        <v>0</v>
      </c>
      <c r="AC7" s="1">
        <f>VLOOKUP($A7,'CAPEX - Manut._Desemborracham.'!$A$3:$M$54,13,FALSE)</f>
        <v>0</v>
      </c>
      <c r="AD7" s="1">
        <v>0</v>
      </c>
      <c r="AE7" s="1">
        <f>VLOOKUP($A7,'CAPEX - Manut._Desemborracham.'!$A$3:$N$54,14,FALSE)</f>
        <v>0</v>
      </c>
      <c r="AF7" s="1">
        <f>VLOOKUP($A7,'CAPEX - Manutenção_PPD'!$A$3:$J$22,10,FALSE)+VLOOKUP($A7,'CAPEX - Manutenção_PTR_Taxiway'!$A$3:$J$22,10,FALSE)+VLOOKUP($A7,'CAPEX - Manutenção_Pátio'!$A$3:$J$22,10,FALSE)</f>
        <v>180113.9</v>
      </c>
      <c r="AG7" s="1">
        <f>VLOOKUP($A7,'CAPEX - Manut._Desemborracham.'!$A$3:$O$54,15,FALSE)</f>
        <v>0</v>
      </c>
      <c r="AH7" s="1">
        <v>0</v>
      </c>
      <c r="AI7" s="1">
        <f>VLOOKUP($A7,'CAPEX - Manutenção_PPD'!$A$3:$K$22,11,FALSE)+VLOOKUP($A7,'CAPEX - Manutenção_PTR_Taxiway'!$A$3:$K$22,11,FALSE)+VLOOKUP($A7,'CAPEX - Manutenção_Pátio'!$A$3:$K$22,11,FALSE)+VLOOKUP($A7,'CAPEX - Manut._Desemborracham.'!$A$3:$P$54,16,FALSE)</f>
        <v>180113.9</v>
      </c>
      <c r="AJ7" s="1">
        <v>0</v>
      </c>
      <c r="AK7" s="1">
        <f>VLOOKUP($A7,'CAPEX - Manut._Desemborracham.'!$A$3:$Q$54,17,FALSE)</f>
        <v>0</v>
      </c>
      <c r="AL7" s="1">
        <v>0</v>
      </c>
      <c r="AM7" s="1">
        <f t="shared" si="0"/>
        <v>79191574.890000015</v>
      </c>
      <c r="AN7" t="str">
        <f>VLOOKUP(C7,'[11]CAPEX - BLOCOS PAN'!$C$3:$AN$249,38,FALSE)</f>
        <v>N</v>
      </c>
      <c r="AO7" s="3">
        <f>VLOOKUP($A7,'BASE PAN - CAPEX'!$A$3:$H$22,8,FALSE)</f>
        <v>1</v>
      </c>
      <c r="AP7" s="3">
        <v>1</v>
      </c>
      <c r="AQ7" s="3" t="s">
        <v>97</v>
      </c>
      <c r="AR7" s="3" t="s">
        <v>97</v>
      </c>
      <c r="AS7" s="3" t="s">
        <v>97</v>
      </c>
      <c r="AT7" s="3" t="s">
        <v>97</v>
      </c>
      <c r="AU7" s="3" t="s">
        <v>97</v>
      </c>
      <c r="AV7" s="3" t="s">
        <v>97</v>
      </c>
    </row>
    <row r="8" spans="1:48" x14ac:dyDescent="0.25">
      <c r="A8" t="s">
        <v>53</v>
      </c>
      <c r="B8" t="s">
        <v>54</v>
      </c>
      <c r="C8" t="s">
        <v>55</v>
      </c>
      <c r="D8" t="s">
        <v>54</v>
      </c>
      <c r="E8" t="s">
        <v>34</v>
      </c>
      <c r="F8" t="s">
        <v>28</v>
      </c>
      <c r="G8" t="s">
        <v>29</v>
      </c>
      <c r="H8" s="1">
        <f>(VLOOKUP($A8,'BASE PAN - CAPEX'!$A$3:$I$22,9,FALSE)*$C$24)+VLOOKUP($A8,'CAPEX - Manutenção_PPD'!$A$3:$C$22,3,FALSE)+VLOOKUP($A8,'CAPEX - Manutenção_PTR_Taxiway'!$A$3:$C$22,3,FALSE)+VLOOKUP($A8,'CAPEX - Manutenção_Pátio'!$A$3:$C$22,3,FALSE)+VLOOKUP($A8,'CAPEX - Navegação Aérea'!$A$3:$H$22,8,FALSE)</f>
        <v>79000000</v>
      </c>
      <c r="I8" s="1">
        <f>VLOOKUP($A8,'CAPEX - Manut._Desemborracham.'!$A$3:$C$54,3,FALSE)</f>
        <v>57756.513688150284</v>
      </c>
      <c r="J8" s="1">
        <v>0</v>
      </c>
      <c r="K8" s="1">
        <f>VLOOKUP($A8,'CAPEX - Manut._Desemborracham.'!$A$3:$D$54,4,FALSE)</f>
        <v>57756.513688150284</v>
      </c>
      <c r="L8" s="1">
        <f>VLOOKUP($A8,'CAPEX - Manutenção_PPD'!$A$3:$D$22,4,FALSE)+VLOOKUP($A8,'CAPEX - Manutenção_PTR_Taxiway'!$A$3:$D$22,4,FALSE)+VLOOKUP($A8,'CAPEX - Manutenção_Pátio'!$A$3:$D$22,4,FALSE)</f>
        <v>194684.31</v>
      </c>
      <c r="M8" s="1">
        <f>VLOOKUP($A8,'CAPEX - Manut._Desemborracham.'!$A$3:$E$54,5,FALSE)</f>
        <v>57756.513688150284</v>
      </c>
      <c r="N8" s="1">
        <v>0</v>
      </c>
      <c r="O8" s="1">
        <f>VLOOKUP($A8,'CAPEX - Manutenção_PPD'!$A$3:$E$22,5,FALSE)+VLOOKUP($A8,'CAPEX - Manutenção_PTR_Taxiway'!$A$3:$E$22,5,FALSE)+VLOOKUP($A8,'CAPEX - Manutenção_Pátio'!$A$3:$E$22,5,FALSE)+VLOOKUP($A8,'CAPEX - Manut._Desemborracham.'!$A$3:$F$54,6,FALSE)</f>
        <v>252440.82368815027</v>
      </c>
      <c r="P8" s="1">
        <v>0</v>
      </c>
      <c r="Q8" s="1">
        <f>VLOOKUP($A8,'CAPEX - Manutenção_PPD'!$A$3:$F$22,6,FALSE)+VLOOKUP($A8,'CAPEX - Manutenção_PTR_Taxiway'!$A$3:$F$22,6,FALSE)+VLOOKUP($A8,'CAPEX - Manutenção_Pátio'!$A$3:$F$22,6,FALSE)+VLOOKUP($A8,'CAPEX - Manut._Desemborracham.'!$A$3:$G$54,7,FALSE)</f>
        <v>9916710.1936881486</v>
      </c>
      <c r="R8" s="1">
        <v>0</v>
      </c>
      <c r="S8" s="1">
        <f>VLOOKUP($A8,'CAPEX - Manut._Desemborracham.'!$A$3:$H$54,8,FALSE)</f>
        <v>57756.513688150284</v>
      </c>
      <c r="T8" s="1">
        <v>0</v>
      </c>
      <c r="U8" s="1">
        <f>VLOOKUP($A8,'CAPEX - Manut._Desemborracham.'!$A$3:$I$54,9,FALSE)</f>
        <v>57756.513688150284</v>
      </c>
      <c r="V8" s="1">
        <f>VLOOKUP($A8,'CAPEX - Manutenção_PPD'!$A$3:$G$22,7,FALSE)+VLOOKUP($A8,'CAPEX - Manutenção_PTR_Taxiway'!$A$3:$G$22,7,FALSE)+VLOOKUP($A8,'CAPEX - Manutenção_Pátio'!$A$3:$G$22,7,FALSE)</f>
        <v>5730962.6100000003</v>
      </c>
      <c r="W8" s="1">
        <f>VLOOKUP($A8,'CAPEX - Manut._Desemborracham.'!$A$3:$J$54,10,FALSE)</f>
        <v>57756.513688150284</v>
      </c>
      <c r="X8" s="1">
        <v>0</v>
      </c>
      <c r="Y8" s="1">
        <f>VLOOKUP($A8,'CAPEX - Manutenção_PPD'!$A$3:$H$22,8,FALSE)+VLOOKUP($A8,'CAPEX - Manutenção_PTR_Taxiway'!$A$3:$H$22,8,FALSE)+VLOOKUP($A8,'CAPEX - Manutenção_Pátio'!$A$3:$H$22,8,FALSE)+VLOOKUP($A8,'CAPEX - Manut._Desemborracham.'!$A$3:$K$54,11,FALSE)</f>
        <v>252440.82368815027</v>
      </c>
      <c r="Z8" s="1">
        <v>0</v>
      </c>
      <c r="AA8" s="1">
        <f>VLOOKUP($A8,'CAPEX - Manutenção_PPD'!$A$3:$I$22,9,FALSE)+VLOOKUP($A8,'CAPEX - Manutenção_PTR_Taxiway'!$A$3:$I$22,9,FALSE)+VLOOKUP($A8,'CAPEX - Manutenção_Pátio'!$A$3:$I$22,9,FALSE)+VLOOKUP($A8,'CAPEX - Manut._Desemborracham.'!$A$3:$L$54,12,FALSE)</f>
        <v>9916710.1936881486</v>
      </c>
      <c r="AB8" s="1">
        <v>0</v>
      </c>
      <c r="AC8" s="1">
        <f>VLOOKUP($A8,'CAPEX - Manut._Desemborracham.'!$A$3:$M$54,13,FALSE)</f>
        <v>57756.513688150284</v>
      </c>
      <c r="AD8" s="1">
        <v>0</v>
      </c>
      <c r="AE8" s="1">
        <f>VLOOKUP($A8,'CAPEX - Manut._Desemborracham.'!$A$3:$N$54,14,FALSE)</f>
        <v>57756.513688150284</v>
      </c>
      <c r="AF8" s="1">
        <f>VLOOKUP($A8,'CAPEX - Manutenção_PPD'!$A$3:$J$22,10,FALSE)+VLOOKUP($A8,'CAPEX - Manutenção_PTR_Taxiway'!$A$3:$J$22,10,FALSE)+VLOOKUP($A8,'CAPEX - Manutenção_Pátio'!$A$3:$J$22,10,FALSE)</f>
        <v>194684.31</v>
      </c>
      <c r="AG8" s="1">
        <f>VLOOKUP($A8,'CAPEX - Manut._Desemborracham.'!$A$3:$O$54,15,FALSE)</f>
        <v>57756.513688150284</v>
      </c>
      <c r="AH8" s="1">
        <v>0</v>
      </c>
      <c r="AI8" s="1">
        <f>VLOOKUP($A8,'CAPEX - Manutenção_PPD'!$A$3:$K$22,11,FALSE)+VLOOKUP($A8,'CAPEX - Manutenção_PTR_Taxiway'!$A$3:$K$22,11,FALSE)+VLOOKUP($A8,'CAPEX - Manutenção_Pátio'!$A$3:$K$22,11,FALSE)+VLOOKUP($A8,'CAPEX - Manut._Desemborracham.'!$A$3:$P$54,16,FALSE)</f>
        <v>252440.82368815027</v>
      </c>
      <c r="AJ8" s="1">
        <v>0</v>
      </c>
      <c r="AK8" s="1">
        <f>VLOOKUP($A8,'CAPEX - Manut._Desemborracham.'!$A$3:$Q$54,17,FALSE)</f>
        <v>57756.513688150284</v>
      </c>
      <c r="AL8" s="1">
        <v>0</v>
      </c>
      <c r="AM8" s="1">
        <f t="shared" si="0"/>
        <v>106288639.22532223</v>
      </c>
      <c r="AN8" t="str">
        <f>VLOOKUP(C8,'[11]CAPEX - BLOCOS PAN'!$C$3:$AN$249,38,FALSE)</f>
        <v>NE e CO</v>
      </c>
      <c r="AO8" s="3">
        <f>VLOOKUP($A8,'BASE PAN - CAPEX'!$A$3:$H$22,8,FALSE)</f>
        <v>3</v>
      </c>
      <c r="AP8" s="3">
        <v>1</v>
      </c>
      <c r="AQ8" s="3" t="s">
        <v>97</v>
      </c>
      <c r="AR8" s="3">
        <v>2048</v>
      </c>
      <c r="AS8" s="3">
        <v>2032</v>
      </c>
      <c r="AT8" s="3" t="s">
        <v>97</v>
      </c>
      <c r="AU8" s="3">
        <v>3</v>
      </c>
      <c r="AV8" s="3">
        <v>2</v>
      </c>
    </row>
    <row r="9" spans="1:48" x14ac:dyDescent="0.25">
      <c r="A9" t="s">
        <v>56</v>
      </c>
      <c r="B9" t="s">
        <v>57</v>
      </c>
      <c r="C9" t="s">
        <v>58</v>
      </c>
      <c r="D9" t="s">
        <v>57</v>
      </c>
      <c r="E9" t="s">
        <v>25</v>
      </c>
      <c r="F9" t="s">
        <v>28</v>
      </c>
      <c r="G9" t="s">
        <v>29</v>
      </c>
      <c r="H9" s="1">
        <f>(VLOOKUP($A9,'BASE PAN - CAPEX'!$A$3:$I$22,9,FALSE)*$C$25)+VLOOKUP($A9,'CAPEX - Manutenção_PPD'!$A$3:$C$22,3,FALSE)+VLOOKUP($A9,'CAPEX - Manutenção_PTR_Taxiway'!$A$3:$C$22,3,FALSE)+VLOOKUP($A9,'CAPEX - Manutenção_Pátio'!$A$3:$C$22,3,FALSE)+VLOOKUP($A9,'CAPEX - Navegação Aérea'!$A$3:$H$22,8,FALSE)</f>
        <v>42748316.799999997</v>
      </c>
      <c r="I9" s="1">
        <f>VLOOKUP($A9,'CAPEX - Manut._Desemborracham.'!$A$3:$C$54,3,FALSE)</f>
        <v>85695.837231005775</v>
      </c>
      <c r="J9" s="1">
        <v>0</v>
      </c>
      <c r="K9" s="1">
        <f>VLOOKUP($A9,'CAPEX - Manut._Desemborracham.'!$A$3:$D$54,4,FALSE)</f>
        <v>85695.837231005775</v>
      </c>
      <c r="L9" s="1">
        <f>VLOOKUP($A9,'CAPEX - Manutenção_PPD'!$A$3:$D$22,4,FALSE)+VLOOKUP($A9,'CAPEX - Manutenção_PTR_Taxiway'!$A$3:$D$22,4,FALSE)+VLOOKUP($A9,'CAPEX - Manutenção_Pátio'!$A$3:$D$22,4,FALSE)</f>
        <v>226461.74</v>
      </c>
      <c r="M9" s="1">
        <f>VLOOKUP($A9,'CAPEX - Manut._Desemborracham.'!$A$3:$E$54,5,FALSE)</f>
        <v>85695.837231005775</v>
      </c>
      <c r="N9" s="1">
        <v>0</v>
      </c>
      <c r="O9" s="1">
        <f>VLOOKUP($A9,'CAPEX - Manutenção_PPD'!$A$3:$E$22,5,FALSE)+VLOOKUP($A9,'CAPEX - Manutenção_PTR_Taxiway'!$A$3:$E$22,5,FALSE)+VLOOKUP($A9,'CAPEX - Manutenção_Pátio'!$A$3:$E$22,5,FALSE)+VLOOKUP($A9,'CAPEX - Manut._Desemborracham.'!$A$3:$F$54,6,FALSE)</f>
        <v>312157.57723100577</v>
      </c>
      <c r="P9" s="1">
        <v>0</v>
      </c>
      <c r="Q9" s="1">
        <f>VLOOKUP($A9,'CAPEX - Manutenção_PPD'!$A$3:$F$22,6,FALSE)+VLOOKUP($A9,'CAPEX - Manutenção_PTR_Taxiway'!$A$3:$F$22,6,FALSE)+VLOOKUP($A9,'CAPEX - Manutenção_Pátio'!$A$3:$F$22,6,FALSE)+VLOOKUP($A9,'CAPEX - Manut._Desemborracham.'!$A$3:$G$54,7,FALSE)</f>
        <v>11187788.127231007</v>
      </c>
      <c r="R9" s="1">
        <v>0</v>
      </c>
      <c r="S9" s="1">
        <f>VLOOKUP($A9,'CAPEX - Manut._Desemborracham.'!$A$3:$H$54,8,FALSE)</f>
        <v>85695.837231005775</v>
      </c>
      <c r="T9" s="1">
        <v>0</v>
      </c>
      <c r="U9" s="1">
        <f>VLOOKUP($A9,'CAPEX - Manut._Desemborracham.'!$A$3:$I$54,9,FALSE)</f>
        <v>85695.837231005775</v>
      </c>
      <c r="V9" s="1">
        <f>VLOOKUP($A9,'CAPEX - Manutenção_PPD'!$A$3:$G$22,7,FALSE)+VLOOKUP($A9,'CAPEX - Manutenção_PTR_Taxiway'!$A$3:$G$22,7,FALSE)+VLOOKUP($A9,'CAPEX - Manutenção_Pátio'!$A$3:$G$22,7,FALSE)</f>
        <v>7321758.5600000005</v>
      </c>
      <c r="W9" s="1">
        <f>VLOOKUP($A9,'CAPEX - Manut._Desemborracham.'!$A$3:$J$54,10,FALSE)</f>
        <v>85695.837231005775</v>
      </c>
      <c r="X9" s="1">
        <v>0</v>
      </c>
      <c r="Y9" s="1">
        <f>VLOOKUP($A9,'CAPEX - Manutenção_PPD'!$A$3:$H$22,8,FALSE)+VLOOKUP($A9,'CAPEX - Manutenção_PTR_Taxiway'!$A$3:$H$22,8,FALSE)+VLOOKUP($A9,'CAPEX - Manutenção_Pátio'!$A$3:$H$22,8,FALSE)+VLOOKUP($A9,'CAPEX - Manut._Desemborracham.'!$A$3:$K$54,11,FALSE)</f>
        <v>312157.57723100577</v>
      </c>
      <c r="Z9" s="1">
        <v>0</v>
      </c>
      <c r="AA9" s="1">
        <f>VLOOKUP($A9,'CAPEX - Manutenção_PPD'!$A$3:$I$22,9,FALSE)+VLOOKUP($A9,'CAPEX - Manutenção_PTR_Taxiway'!$A$3:$I$22,9,FALSE)+VLOOKUP($A9,'CAPEX - Manutenção_Pátio'!$A$3:$I$22,9,FALSE)+VLOOKUP($A9,'CAPEX - Manut._Desemborracham.'!$A$3:$L$54,12,FALSE)</f>
        <v>11187788.127231007</v>
      </c>
      <c r="AB9" s="1">
        <v>0</v>
      </c>
      <c r="AC9" s="1">
        <f>VLOOKUP($A9,'CAPEX - Manut._Desemborracham.'!$A$3:$M$54,13,FALSE)</f>
        <v>85695.837231005775</v>
      </c>
      <c r="AD9" s="1">
        <v>0</v>
      </c>
      <c r="AE9" s="1">
        <f>VLOOKUP($A9,'CAPEX - Manut._Desemborracham.'!$A$3:$N$54,14,FALSE)</f>
        <v>85695.837231005775</v>
      </c>
      <c r="AF9" s="1">
        <f>VLOOKUP($A9,'CAPEX - Manutenção_PPD'!$A$3:$J$22,10,FALSE)+VLOOKUP($A9,'CAPEX - Manutenção_PTR_Taxiway'!$A$3:$J$22,10,FALSE)+VLOOKUP($A9,'CAPEX - Manutenção_Pátio'!$A$3:$J$22,10,FALSE)</f>
        <v>226461.74</v>
      </c>
      <c r="AG9" s="1">
        <f>VLOOKUP($A9,'CAPEX - Manut._Desemborracham.'!$A$3:$O$54,15,FALSE)</f>
        <v>85695.837231005775</v>
      </c>
      <c r="AH9" s="1">
        <v>0</v>
      </c>
      <c r="AI9" s="1">
        <f>VLOOKUP($A9,'CAPEX - Manutenção_PPD'!$A$3:$K$22,11,FALSE)+VLOOKUP($A9,'CAPEX - Manutenção_PTR_Taxiway'!$A$3:$K$22,11,FALSE)+VLOOKUP($A9,'CAPEX - Manutenção_Pátio'!$A$3:$K$22,11,FALSE)+VLOOKUP($A9,'CAPEX - Manut._Desemborracham.'!$A$3:$P$54,16,FALSE)</f>
        <v>312157.57723100577</v>
      </c>
      <c r="AJ9" s="1">
        <v>0</v>
      </c>
      <c r="AK9" s="1">
        <f>VLOOKUP($A9,'CAPEX - Manut._Desemborracham.'!$A$3:$Q$54,17,FALSE)</f>
        <v>85695.837231005775</v>
      </c>
      <c r="AL9" s="1">
        <v>0</v>
      </c>
      <c r="AM9" s="1">
        <f t="shared" si="0"/>
        <v>74692006.198465079</v>
      </c>
      <c r="AN9" t="str">
        <f>VLOOKUP(C9,'[11]CAPEX - BLOCOS PAN'!$C$3:$AN$249,38,FALSE)</f>
        <v>N</v>
      </c>
      <c r="AO9" s="3">
        <f>VLOOKUP($A9,'BASE PAN - CAPEX'!$A$3:$H$22,8,FALSE)</f>
        <v>3</v>
      </c>
      <c r="AP9" s="3">
        <v>2</v>
      </c>
      <c r="AQ9" s="3" t="s">
        <v>97</v>
      </c>
      <c r="AR9" s="3" t="s">
        <v>97</v>
      </c>
      <c r="AS9" s="3">
        <v>2027</v>
      </c>
      <c r="AT9" s="3" t="s">
        <v>97</v>
      </c>
      <c r="AU9" s="3" t="s">
        <v>97</v>
      </c>
      <c r="AV9" s="3">
        <v>3</v>
      </c>
    </row>
    <row r="10" spans="1:48" x14ac:dyDescent="0.25">
      <c r="A10" t="s">
        <v>63</v>
      </c>
      <c r="B10" t="s">
        <v>64</v>
      </c>
      <c r="C10" t="s">
        <v>65</v>
      </c>
      <c r="D10" t="s">
        <v>66</v>
      </c>
      <c r="E10" t="s">
        <v>34</v>
      </c>
      <c r="F10" t="s">
        <v>28</v>
      </c>
      <c r="G10" t="s">
        <v>29</v>
      </c>
      <c r="H10" s="1">
        <f>(VLOOKUP($A10,'BASE PAN - CAPEX'!$A$3:$I$22,9,FALSE)*$C$24)+VLOOKUP($A10,'CAPEX - Manutenção_PPD'!$A$3:$C$22,3,FALSE)+VLOOKUP($A10,'CAPEX - Manutenção_PTR_Taxiway'!$A$3:$C$22,3,FALSE)+VLOOKUP($A10,'CAPEX - Manutenção_Pátio'!$A$3:$C$22,3,FALSE)+VLOOKUP($A10,'CAPEX - Navegação Aérea'!$A$3:$H$22,8,FALSE)</f>
        <v>62659000</v>
      </c>
      <c r="I10" s="1">
        <f>VLOOKUP($A10,'CAPEX - Manut._Desemborracham.'!$A$3:$C$54,3,FALSE)</f>
        <v>63351.135604982657</v>
      </c>
      <c r="J10" s="1">
        <v>0</v>
      </c>
      <c r="K10" s="1">
        <f>VLOOKUP($A10,'CAPEX - Manut._Desemborracham.'!$A$3:$D$54,4,FALSE)</f>
        <v>63351.135604982657</v>
      </c>
      <c r="L10" s="1">
        <f>VLOOKUP($A10,'CAPEX - Manutenção_PPD'!$A$3:$D$22,4,FALSE)+VLOOKUP($A10,'CAPEX - Manutenção_PTR_Taxiway'!$A$3:$D$22,4,FALSE)+VLOOKUP($A10,'CAPEX - Manutenção_Pátio'!$A$3:$D$22,4,FALSE)</f>
        <v>197554.34000000003</v>
      </c>
      <c r="M10" s="1">
        <f>VLOOKUP($A10,'CAPEX - Manut._Desemborracham.'!$A$3:$E$54,5,FALSE)</f>
        <v>63351.135604982657</v>
      </c>
      <c r="N10" s="1">
        <v>0</v>
      </c>
      <c r="O10" s="1">
        <f>VLOOKUP($A10,'CAPEX - Manutenção_PPD'!$A$3:$E$22,5,FALSE)+VLOOKUP($A10,'CAPEX - Manutenção_PTR_Taxiway'!$A$3:$E$22,5,FALSE)+VLOOKUP($A10,'CAPEX - Manutenção_Pátio'!$A$3:$E$22,5,FALSE)+VLOOKUP($A10,'CAPEX - Manut._Desemborracham.'!$A$3:$F$54,6,FALSE)</f>
        <v>260905.4756049827</v>
      </c>
      <c r="P10" s="1">
        <v>0</v>
      </c>
      <c r="Q10" s="1">
        <f>VLOOKUP($A10,'CAPEX - Manutenção_PPD'!$A$3:$F$22,6,FALSE)+VLOOKUP($A10,'CAPEX - Manutenção_PTR_Taxiway'!$A$3:$F$22,6,FALSE)+VLOOKUP($A10,'CAPEX - Manutenção_Pátio'!$A$3:$F$22,6,FALSE)+VLOOKUP($A10,'CAPEX - Manut._Desemborracham.'!$A$3:$G$54,7,FALSE)</f>
        <v>6907644.5256049819</v>
      </c>
      <c r="R10" s="1">
        <v>0</v>
      </c>
      <c r="S10" s="1">
        <f>VLOOKUP($A10,'CAPEX - Manut._Desemborracham.'!$A$3:$H$54,8,FALSE)</f>
        <v>63351.135604982657</v>
      </c>
      <c r="T10" s="1">
        <v>0</v>
      </c>
      <c r="U10" s="1">
        <f>VLOOKUP($A10,'CAPEX - Manut._Desemborracham.'!$A$3:$I$54,9,FALSE)</f>
        <v>63351.135604982657</v>
      </c>
      <c r="V10" s="1">
        <f>VLOOKUP($A10,'CAPEX - Manutenção_PPD'!$A$3:$G$22,7,FALSE)+VLOOKUP($A10,'CAPEX - Manutenção_PTR_Taxiway'!$A$3:$G$22,7,FALSE)+VLOOKUP($A10,'CAPEX - Manutenção_Pátio'!$A$3:$G$22,7,FALSE)</f>
        <v>5733832.6399999997</v>
      </c>
      <c r="W10" s="1">
        <f>VLOOKUP($A10,'CAPEX - Manut._Desemborracham.'!$A$3:$J$54,10,FALSE)</f>
        <v>63351.135604982657</v>
      </c>
      <c r="X10" s="1">
        <v>0</v>
      </c>
      <c r="Y10" s="1">
        <f>VLOOKUP($A10,'CAPEX - Manutenção_PPD'!$A$3:$H$22,8,FALSE)+VLOOKUP($A10,'CAPEX - Manutenção_PTR_Taxiway'!$A$3:$H$22,8,FALSE)+VLOOKUP($A10,'CAPEX - Manutenção_Pátio'!$A$3:$H$22,8,FALSE)+VLOOKUP($A10,'CAPEX - Manut._Desemborracham.'!$A$3:$K$54,11,FALSE)</f>
        <v>260905.4756049827</v>
      </c>
      <c r="Z10" s="1">
        <v>0</v>
      </c>
      <c r="AA10" s="1">
        <f>VLOOKUP($A10,'CAPEX - Manutenção_PPD'!$A$3:$I$22,9,FALSE)+VLOOKUP($A10,'CAPEX - Manutenção_PTR_Taxiway'!$A$3:$I$22,9,FALSE)+VLOOKUP($A10,'CAPEX - Manutenção_Pátio'!$A$3:$I$22,9,FALSE)+VLOOKUP($A10,'CAPEX - Manut._Desemborracham.'!$A$3:$L$54,12,FALSE)</f>
        <v>6907644.5256049819</v>
      </c>
      <c r="AB10" s="1">
        <v>0</v>
      </c>
      <c r="AC10" s="1">
        <f>VLOOKUP($A10,'CAPEX - Manut._Desemborracham.'!$A$3:$M$54,13,FALSE)</f>
        <v>63351.135604982657</v>
      </c>
      <c r="AD10" s="1">
        <v>0</v>
      </c>
      <c r="AE10" s="1">
        <f>VLOOKUP($A10,'CAPEX - Manut._Desemborracham.'!$A$3:$N$54,14,FALSE)</f>
        <v>63351.135604982657</v>
      </c>
      <c r="AF10" s="1">
        <f>VLOOKUP($A10,'CAPEX - Manutenção_PPD'!$A$3:$J$22,10,FALSE)+VLOOKUP($A10,'CAPEX - Manutenção_PTR_Taxiway'!$A$3:$J$22,10,FALSE)+VLOOKUP($A10,'CAPEX - Manutenção_Pátio'!$A$3:$J$22,10,FALSE)</f>
        <v>197554.34000000003</v>
      </c>
      <c r="AG10" s="1">
        <f>VLOOKUP($A10,'CAPEX - Manut._Desemborracham.'!$A$3:$O$54,15,FALSE)</f>
        <v>63351.135604982657</v>
      </c>
      <c r="AH10" s="1">
        <v>0</v>
      </c>
      <c r="AI10" s="1">
        <f>VLOOKUP($A10,'CAPEX - Manutenção_PPD'!$A$3:$K$22,11,FALSE)+VLOOKUP($A10,'CAPEX - Manutenção_PTR_Taxiway'!$A$3:$K$22,11,FALSE)+VLOOKUP($A10,'CAPEX - Manutenção_Pátio'!$A$3:$K$22,11,FALSE)+VLOOKUP($A10,'CAPEX - Manut._Desemborracham.'!$A$3:$P$54,16,FALSE)</f>
        <v>260905.4756049827</v>
      </c>
      <c r="AJ10" s="1">
        <v>0</v>
      </c>
      <c r="AK10" s="1">
        <f>VLOOKUP($A10,'CAPEX - Manut._Desemborracham.'!$A$3:$Q$54,17,FALSE)</f>
        <v>63351.135604982657</v>
      </c>
      <c r="AL10" s="1">
        <v>0</v>
      </c>
      <c r="AM10" s="1">
        <f t="shared" si="0"/>
        <v>84019458.154074714</v>
      </c>
      <c r="AN10" t="str">
        <f>VLOOKUP(C10,'[11]CAPEX - BLOCOS PAN'!$C$3:$AN$249,38,FALSE)</f>
        <v>NE e CO</v>
      </c>
      <c r="AO10" s="3">
        <f>VLOOKUP($A10,'BASE PAN - CAPEX'!$A$3:$H$22,8,FALSE)</f>
        <v>3</v>
      </c>
      <c r="AP10" s="3">
        <v>2</v>
      </c>
      <c r="AQ10" s="3" t="s">
        <v>97</v>
      </c>
      <c r="AR10" s="3" t="s">
        <v>97</v>
      </c>
      <c r="AS10" s="3">
        <v>2027</v>
      </c>
      <c r="AT10" s="3" t="s">
        <v>97</v>
      </c>
      <c r="AU10" s="3" t="s">
        <v>97</v>
      </c>
      <c r="AV10" s="3">
        <v>3</v>
      </c>
    </row>
    <row r="11" spans="1:48" x14ac:dyDescent="0.25">
      <c r="A11" t="s">
        <v>67</v>
      </c>
      <c r="B11" t="s">
        <v>68</v>
      </c>
      <c r="C11" t="s">
        <v>69</v>
      </c>
      <c r="D11" t="s">
        <v>70</v>
      </c>
      <c r="E11" t="s">
        <v>31</v>
      </c>
      <c r="F11" t="s">
        <v>28</v>
      </c>
      <c r="G11" t="s">
        <v>29</v>
      </c>
      <c r="H11" s="1">
        <f>(VLOOKUP($A11,'BASE PAN - CAPEX'!$A$3:$I$22,9,FALSE)*$C$24)+VLOOKUP($A11,'CAPEX - Manutenção_PPD'!$A$3:$C$22,3,FALSE)+VLOOKUP($A11,'CAPEX - Manutenção_PTR_Taxiway'!$A$3:$C$22,3,FALSE)+VLOOKUP($A11,'CAPEX - Manutenção_Pátio'!$A$3:$C$22,3,FALSE)+VLOOKUP($A11,'CAPEX - Navegação Aérea'!$A$3:$H$22,8,FALSE)</f>
        <v>21003000</v>
      </c>
      <c r="I11" s="1">
        <f>VLOOKUP($A11,'CAPEX - Manut._Desemborracham.'!$A$3:$C$54,3,FALSE)</f>
        <v>0</v>
      </c>
      <c r="J11" s="1">
        <v>0</v>
      </c>
      <c r="K11" s="1">
        <f>VLOOKUP($A11,'CAPEX - Manut._Desemborracham.'!$A$3:$D$54,4,FALSE)</f>
        <v>0</v>
      </c>
      <c r="L11" s="1">
        <f>VLOOKUP($A11,'CAPEX - Manutenção_PPD'!$A$3:$D$22,4,FALSE)+VLOOKUP($A11,'CAPEX - Manutenção_PTR_Taxiway'!$A$3:$D$22,4,FALSE)+VLOOKUP($A11,'CAPEX - Manutenção_Pátio'!$A$3:$D$22,4,FALSE)</f>
        <v>173426.21</v>
      </c>
      <c r="M11" s="1">
        <f>VLOOKUP($A11,'CAPEX - Manut._Desemborracham.'!$A$3:$E$54,5,FALSE)</f>
        <v>0</v>
      </c>
      <c r="N11" s="1">
        <v>0</v>
      </c>
      <c r="O11" s="1">
        <f>VLOOKUP($A11,'CAPEX - Manutenção_PPD'!$A$3:$E$22,5,FALSE)+VLOOKUP($A11,'CAPEX - Manutenção_PTR_Taxiway'!$A$3:$E$22,5,FALSE)+VLOOKUP($A11,'CAPEX - Manutenção_Pátio'!$A$3:$E$22,5,FALSE)+VLOOKUP($A11,'CAPEX - Manut._Desemborracham.'!$A$3:$F$54,6,FALSE)</f>
        <v>173426.21</v>
      </c>
      <c r="P11" s="1">
        <v>0</v>
      </c>
      <c r="Q11" s="1">
        <f>VLOOKUP($A11,'CAPEX - Manutenção_PPD'!$A$3:$F$22,6,FALSE)+VLOOKUP($A11,'CAPEX - Manutenção_PTR_Taxiway'!$A$3:$F$22,6,FALSE)+VLOOKUP($A11,'CAPEX - Manutenção_Pátio'!$A$3:$F$22,6,FALSE)+VLOOKUP($A11,'CAPEX - Manut._Desemborracham.'!$A$3:$G$54,7,FALSE)</f>
        <v>6436027.4199999999</v>
      </c>
      <c r="R11" s="1">
        <v>0</v>
      </c>
      <c r="S11" s="1">
        <f>VLOOKUP($A11,'CAPEX - Manut._Desemborracham.'!$A$3:$H$54,8,FALSE)</f>
        <v>0</v>
      </c>
      <c r="T11" s="1">
        <v>0</v>
      </c>
      <c r="U11" s="1">
        <f>VLOOKUP($A11,'CAPEX - Manut._Desemborracham.'!$A$3:$I$54,9,FALSE)</f>
        <v>0</v>
      </c>
      <c r="V11" s="1">
        <f>VLOOKUP($A11,'CAPEX - Manutenção_PPD'!$A$3:$G$22,7,FALSE)+VLOOKUP($A11,'CAPEX - Manutenção_PTR_Taxiway'!$A$3:$G$22,7,FALSE)+VLOOKUP($A11,'CAPEX - Manutenção_Pátio'!$A$3:$G$22,7,FALSE)</f>
        <v>5802339.9400000004</v>
      </c>
      <c r="W11" s="1">
        <f>VLOOKUP($A11,'CAPEX - Manut._Desemborracham.'!$A$3:$J$54,10,FALSE)</f>
        <v>0</v>
      </c>
      <c r="X11" s="1">
        <v>0</v>
      </c>
      <c r="Y11" s="1">
        <f>VLOOKUP($A11,'CAPEX - Manutenção_PPD'!$A$3:$H$22,8,FALSE)+VLOOKUP($A11,'CAPEX - Manutenção_PTR_Taxiway'!$A$3:$H$22,8,FALSE)+VLOOKUP($A11,'CAPEX - Manutenção_Pátio'!$A$3:$H$22,8,FALSE)+VLOOKUP($A11,'CAPEX - Manut._Desemborracham.'!$A$3:$K$54,11,FALSE)</f>
        <v>173426.21</v>
      </c>
      <c r="Z11" s="1">
        <v>0</v>
      </c>
      <c r="AA11" s="1">
        <f>VLOOKUP($A11,'CAPEX - Manutenção_PPD'!$A$3:$I$22,9,FALSE)+VLOOKUP($A11,'CAPEX - Manutenção_PTR_Taxiway'!$A$3:$I$22,9,FALSE)+VLOOKUP($A11,'CAPEX - Manutenção_Pátio'!$A$3:$I$22,9,FALSE)+VLOOKUP($A11,'CAPEX - Manut._Desemborracham.'!$A$3:$L$54,12,FALSE)</f>
        <v>6436027.4199999999</v>
      </c>
      <c r="AB11" s="1">
        <v>0</v>
      </c>
      <c r="AC11" s="1">
        <f>VLOOKUP($A11,'CAPEX - Manut._Desemborracham.'!$A$3:$M$54,13,FALSE)</f>
        <v>0</v>
      </c>
      <c r="AD11" s="1">
        <v>0</v>
      </c>
      <c r="AE11" s="1">
        <f>VLOOKUP($A11,'CAPEX - Manut._Desemborracham.'!$A$3:$N$54,14,FALSE)</f>
        <v>0</v>
      </c>
      <c r="AF11" s="1">
        <f>VLOOKUP($A11,'CAPEX - Manutenção_PPD'!$A$3:$J$22,10,FALSE)+VLOOKUP($A11,'CAPEX - Manutenção_PTR_Taxiway'!$A$3:$J$22,10,FALSE)+VLOOKUP($A11,'CAPEX - Manutenção_Pátio'!$A$3:$J$22,10,FALSE)</f>
        <v>173426.21</v>
      </c>
      <c r="AG11" s="1">
        <f>VLOOKUP($A11,'CAPEX - Manut._Desemborracham.'!$A$3:$O$54,15,FALSE)</f>
        <v>0</v>
      </c>
      <c r="AH11" s="1">
        <v>0</v>
      </c>
      <c r="AI11" s="1">
        <f>VLOOKUP($A11,'CAPEX - Manutenção_PPD'!$A$3:$K$22,11,FALSE)+VLOOKUP($A11,'CAPEX - Manutenção_PTR_Taxiway'!$A$3:$K$22,11,FALSE)+VLOOKUP($A11,'CAPEX - Manutenção_Pátio'!$A$3:$K$22,11,FALSE)+VLOOKUP($A11,'CAPEX - Manut._Desemborracham.'!$A$3:$P$54,16,FALSE)</f>
        <v>173426.21</v>
      </c>
      <c r="AJ11" s="1">
        <v>0</v>
      </c>
      <c r="AK11" s="1">
        <f>VLOOKUP($A11,'CAPEX - Manut._Desemborracham.'!$A$3:$Q$54,17,FALSE)</f>
        <v>0</v>
      </c>
      <c r="AL11" s="1">
        <v>0</v>
      </c>
      <c r="AM11" s="1">
        <f t="shared" si="0"/>
        <v>40544525.830000006</v>
      </c>
      <c r="AN11" t="str">
        <f>VLOOKUP(C11,'[11]CAPEX - BLOCOS PAN'!$C$3:$AN$249,38,FALSE)</f>
        <v>NE e CO</v>
      </c>
      <c r="AO11" s="3">
        <f>VLOOKUP($A11,'BASE PAN - CAPEX'!$A$3:$H$22,8,FALSE)</f>
        <v>1</v>
      </c>
      <c r="AP11" s="3">
        <v>1</v>
      </c>
      <c r="AQ11" s="3" t="s">
        <v>97</v>
      </c>
      <c r="AR11" s="3" t="s">
        <v>97</v>
      </c>
      <c r="AS11" s="3" t="s">
        <v>97</v>
      </c>
      <c r="AT11" s="3" t="s">
        <v>97</v>
      </c>
      <c r="AU11" s="3" t="s">
        <v>97</v>
      </c>
      <c r="AV11" s="3" t="s">
        <v>97</v>
      </c>
    </row>
    <row r="12" spans="1:48" x14ac:dyDescent="0.25">
      <c r="A12" t="s">
        <v>71</v>
      </c>
      <c r="B12" t="s">
        <v>72</v>
      </c>
      <c r="C12" t="s">
        <v>73</v>
      </c>
      <c r="D12" t="s">
        <v>72</v>
      </c>
      <c r="E12" t="s">
        <v>25</v>
      </c>
      <c r="F12" t="s">
        <v>28</v>
      </c>
      <c r="G12" t="s">
        <v>29</v>
      </c>
      <c r="H12" s="1">
        <f>(VLOOKUP($A12,'BASE PAN - CAPEX'!$A$3:$I$22,9,FALSE)*$C$25)+VLOOKUP($A12,'CAPEX - Manutenção_PPD'!$A$3:$C$22,3,FALSE)+VLOOKUP($A12,'CAPEX - Manutenção_PTR_Taxiway'!$A$3:$C$22,3,FALSE)+VLOOKUP($A12,'CAPEX - Manutenção_Pátio'!$A$3:$C$22,3,FALSE)+VLOOKUP($A12,'CAPEX - Navegação Aérea'!$A$3:$H$22,8,FALSE)</f>
        <v>14958000</v>
      </c>
      <c r="I12" s="1">
        <f>VLOOKUP($A12,'CAPEX - Manut._Desemborracham.'!$A$3:$C$54,3,FALSE)</f>
        <v>90929.208398485542</v>
      </c>
      <c r="J12" s="1">
        <v>0</v>
      </c>
      <c r="K12" s="1">
        <f>VLOOKUP($A12,'CAPEX - Manut._Desemborracham.'!$A$3:$D$54,4,FALSE)</f>
        <v>90929.208398485542</v>
      </c>
      <c r="L12" s="1">
        <f>VLOOKUP($A12,'CAPEX - Manutenção_PPD'!$A$3:$D$22,4,FALSE)+VLOOKUP($A12,'CAPEX - Manutenção_PTR_Taxiway'!$A$3:$D$22,4,FALSE)+VLOOKUP($A12,'CAPEX - Manutenção_Pátio'!$A$3:$D$22,4,FALSE)</f>
        <v>219299.4</v>
      </c>
      <c r="M12" s="1">
        <f>VLOOKUP($A12,'CAPEX - Manut._Desemborracham.'!$A$3:$E$54,5,FALSE)</f>
        <v>90929.208398485542</v>
      </c>
      <c r="N12" s="1">
        <v>0</v>
      </c>
      <c r="O12" s="1">
        <f>VLOOKUP($A12,'CAPEX - Manutenção_PPD'!$A$3:$E$22,5,FALSE)+VLOOKUP($A12,'CAPEX - Manutenção_PTR_Taxiway'!$A$3:$E$22,5,FALSE)+VLOOKUP($A12,'CAPEX - Manutenção_Pátio'!$A$3:$E$22,5,FALSE)+VLOOKUP($A12,'CAPEX - Manut._Desemborracham.'!$A$3:$F$54,6,FALSE)</f>
        <v>310228.60839848552</v>
      </c>
      <c r="P12" s="1">
        <v>0</v>
      </c>
      <c r="Q12" s="1">
        <f>VLOOKUP($A12,'CAPEX - Manutenção_PPD'!$A$3:$F$22,6,FALSE)+VLOOKUP($A12,'CAPEX - Manutenção_PTR_Taxiway'!$A$3:$F$22,6,FALSE)+VLOOKUP($A12,'CAPEX - Manutenção_Pátio'!$A$3:$F$22,6,FALSE)+VLOOKUP($A12,'CAPEX - Manut._Desemborracham.'!$A$3:$G$54,7,FALSE)</f>
        <v>13300789.148398487</v>
      </c>
      <c r="R12" s="1">
        <v>0</v>
      </c>
      <c r="S12" s="1">
        <f>VLOOKUP($A12,'CAPEX - Manut._Desemborracham.'!$A$3:$H$54,8,FALSE)</f>
        <v>90929.208398485542</v>
      </c>
      <c r="T12" s="1">
        <v>0</v>
      </c>
      <c r="U12" s="1">
        <f>VLOOKUP($A12,'CAPEX - Manut._Desemborracham.'!$A$3:$I$54,9,FALSE)</f>
        <v>90929.208398485542</v>
      </c>
      <c r="V12" s="1">
        <f>VLOOKUP($A12,'CAPEX - Manutenção_PPD'!$A$3:$G$22,7,FALSE)+VLOOKUP($A12,'CAPEX - Manutenção_PTR_Taxiway'!$A$3:$G$22,7,FALSE)+VLOOKUP($A12,'CAPEX - Manutenção_Pátio'!$A$3:$G$22,7,FALSE)</f>
        <v>6026773.2699999996</v>
      </c>
      <c r="W12" s="1">
        <f>VLOOKUP($A12,'CAPEX - Manut._Desemborracham.'!$A$3:$J$54,10,FALSE)</f>
        <v>90929.208398485542</v>
      </c>
      <c r="X12" s="1">
        <v>0</v>
      </c>
      <c r="Y12" s="1">
        <f>VLOOKUP($A12,'CAPEX - Manutenção_PPD'!$A$3:$H$22,8,FALSE)+VLOOKUP($A12,'CAPEX - Manutenção_PTR_Taxiway'!$A$3:$H$22,8,FALSE)+VLOOKUP($A12,'CAPEX - Manutenção_Pátio'!$A$3:$H$22,8,FALSE)+VLOOKUP($A12,'CAPEX - Manut._Desemborracham.'!$A$3:$K$54,11,FALSE)</f>
        <v>310228.60839848552</v>
      </c>
      <c r="Z12" s="1">
        <v>0</v>
      </c>
      <c r="AA12" s="1">
        <f>VLOOKUP($A12,'CAPEX - Manutenção_PPD'!$A$3:$I$22,9,FALSE)+VLOOKUP($A12,'CAPEX - Manutenção_PTR_Taxiway'!$A$3:$I$22,9,FALSE)+VLOOKUP($A12,'CAPEX - Manutenção_Pátio'!$A$3:$I$22,9,FALSE)+VLOOKUP($A12,'CAPEX - Manut._Desemborracham.'!$A$3:$L$54,12,FALSE)</f>
        <v>13300789.148398487</v>
      </c>
      <c r="AB12" s="1">
        <v>0</v>
      </c>
      <c r="AC12" s="1">
        <f>VLOOKUP($A12,'CAPEX - Manut._Desemborracham.'!$A$3:$M$54,13,FALSE)</f>
        <v>90929.208398485542</v>
      </c>
      <c r="AD12" s="1">
        <v>0</v>
      </c>
      <c r="AE12" s="1">
        <f>VLOOKUP($A12,'CAPEX - Manut._Desemborracham.'!$A$3:$N$54,14,FALSE)</f>
        <v>90929.208398485542</v>
      </c>
      <c r="AF12" s="1">
        <f>VLOOKUP($A12,'CAPEX - Manutenção_PPD'!$A$3:$J$22,10,FALSE)+VLOOKUP($A12,'CAPEX - Manutenção_PTR_Taxiway'!$A$3:$J$22,10,FALSE)+VLOOKUP($A12,'CAPEX - Manutenção_Pátio'!$A$3:$J$22,10,FALSE)</f>
        <v>219299.4</v>
      </c>
      <c r="AG12" s="1">
        <f>VLOOKUP($A12,'CAPEX - Manut._Desemborracham.'!$A$3:$O$54,15,FALSE)</f>
        <v>90929.208398485542</v>
      </c>
      <c r="AH12" s="1">
        <v>0</v>
      </c>
      <c r="AI12" s="1">
        <f>VLOOKUP($A12,'CAPEX - Manutenção_PPD'!$A$3:$K$22,11,FALSE)+VLOOKUP($A12,'CAPEX - Manutenção_PTR_Taxiway'!$A$3:$K$22,11,FALSE)+VLOOKUP($A12,'CAPEX - Manutenção_Pátio'!$A$3:$K$22,11,FALSE)+VLOOKUP($A12,'CAPEX - Manut._Desemborracham.'!$A$3:$P$54,16,FALSE)</f>
        <v>310228.60839848552</v>
      </c>
      <c r="AJ12" s="1">
        <v>0</v>
      </c>
      <c r="AK12" s="1">
        <f>VLOOKUP($A12,'CAPEX - Manut._Desemborracham.'!$A$3:$Q$54,17,FALSE)</f>
        <v>90929.208398485542</v>
      </c>
      <c r="AL12" s="1">
        <v>0</v>
      </c>
      <c r="AM12" s="1">
        <f t="shared" si="0"/>
        <v>49864928.275977269</v>
      </c>
      <c r="AN12" t="str">
        <f>VLOOKUP(C12,'[11]CAPEX - BLOCOS PAN'!$C$3:$AN$249,38,FALSE)</f>
        <v>N</v>
      </c>
      <c r="AO12" s="3">
        <f>VLOOKUP($A12,'BASE PAN - CAPEX'!$A$3:$H$22,8,FALSE)</f>
        <v>3</v>
      </c>
      <c r="AP12" s="3">
        <v>2</v>
      </c>
      <c r="AQ12" s="3" t="s">
        <v>97</v>
      </c>
      <c r="AR12" s="3" t="s">
        <v>97</v>
      </c>
      <c r="AS12" s="3">
        <v>2025</v>
      </c>
      <c r="AT12" s="3" t="s">
        <v>97</v>
      </c>
      <c r="AU12" s="3" t="s">
        <v>97</v>
      </c>
      <c r="AV12" s="3">
        <v>3</v>
      </c>
    </row>
    <row r="13" spans="1:48" x14ac:dyDescent="0.25">
      <c r="A13" t="s">
        <v>76</v>
      </c>
      <c r="B13" t="s">
        <v>77</v>
      </c>
      <c r="C13" t="s">
        <v>78</v>
      </c>
      <c r="D13" t="s">
        <v>77</v>
      </c>
      <c r="E13" t="s">
        <v>27</v>
      </c>
      <c r="F13" t="s">
        <v>28</v>
      </c>
      <c r="G13" t="s">
        <v>29</v>
      </c>
      <c r="H13" s="1">
        <f>(VLOOKUP($A13,'BASE PAN - CAPEX'!$A$3:$I$22,9,FALSE)*$C$24)+VLOOKUP($A13,'CAPEX - Manutenção_PPD'!$A$3:$C$22,3,FALSE)+VLOOKUP($A13,'CAPEX - Manutenção_PTR_Taxiway'!$A$3:$C$22,3,FALSE)+VLOOKUP($A13,'CAPEX - Manutenção_Pátio'!$A$3:$C$22,3,FALSE)+VLOOKUP($A13,'CAPEX - Navegação Aérea'!$A$3:$H$22,8,FALSE)</f>
        <v>25256000</v>
      </c>
      <c r="I13" s="1">
        <f>VLOOKUP($A13,'CAPEX - Manut._Desemborracham.'!$A$3:$C$54,3,FALSE)</f>
        <v>74052.93638116763</v>
      </c>
      <c r="J13" s="1">
        <v>0</v>
      </c>
      <c r="K13" s="1">
        <f>VLOOKUP($A13,'CAPEX - Manut._Desemborracham.'!$A$3:$D$54,4,FALSE)</f>
        <v>74052.93638116763</v>
      </c>
      <c r="L13" s="1">
        <f>VLOOKUP($A13,'CAPEX - Manutenção_PPD'!$A$3:$D$22,4,FALSE)+VLOOKUP($A13,'CAPEX - Manutenção_PTR_Taxiway'!$A$3:$D$22,4,FALSE)+VLOOKUP($A13,'CAPEX - Manutenção_Pátio'!$A$3:$D$22,4,FALSE)</f>
        <v>209849.61000000002</v>
      </c>
      <c r="M13" s="1">
        <f>VLOOKUP($A13,'CAPEX - Manut._Desemborracham.'!$A$3:$E$54,5,FALSE)</f>
        <v>74052.93638116763</v>
      </c>
      <c r="N13" s="1">
        <v>0</v>
      </c>
      <c r="O13" s="1">
        <f>VLOOKUP($A13,'CAPEX - Manutenção_PPD'!$A$3:$E$22,5,FALSE)+VLOOKUP($A13,'CAPEX - Manutenção_PTR_Taxiway'!$A$3:$E$22,5,FALSE)+VLOOKUP($A13,'CAPEX - Manutenção_Pátio'!$A$3:$E$22,5,FALSE)+VLOOKUP($A13,'CAPEX - Manut._Desemborracham.'!$A$3:$F$54,6,FALSE)</f>
        <v>283902.54638116766</v>
      </c>
      <c r="P13" s="1">
        <v>0</v>
      </c>
      <c r="Q13" s="1">
        <f>VLOOKUP($A13,'CAPEX - Manutenção_PPD'!$A$3:$F$22,6,FALSE)+VLOOKUP($A13,'CAPEX - Manutenção_PTR_Taxiway'!$A$3:$F$22,6,FALSE)+VLOOKUP($A13,'CAPEX - Manutenção_Pátio'!$A$3:$F$22,6,FALSE)+VLOOKUP($A13,'CAPEX - Manut._Desemborracham.'!$A$3:$G$54,7,FALSE)</f>
        <v>10434355.616381165</v>
      </c>
      <c r="R13" s="1">
        <v>0</v>
      </c>
      <c r="S13" s="1">
        <f>VLOOKUP($A13,'CAPEX - Manut._Desemborracham.'!$A$3:$H$54,8,FALSE)</f>
        <v>74052.93638116763</v>
      </c>
      <c r="T13" s="1">
        <v>0</v>
      </c>
      <c r="U13" s="1">
        <f>VLOOKUP($A13,'CAPEX - Manut._Desemborracham.'!$A$3:$I$54,9,FALSE)</f>
        <v>74052.93638116763</v>
      </c>
      <c r="V13" s="1">
        <f>VLOOKUP($A13,'CAPEX - Manutenção_PPD'!$A$3:$G$22,7,FALSE)+VLOOKUP($A13,'CAPEX - Manutenção_PTR_Taxiway'!$A$3:$G$22,7,FALSE)+VLOOKUP($A13,'CAPEX - Manutenção_Pátio'!$A$3:$G$22,7,FALSE)</f>
        <v>7394235.2199999997</v>
      </c>
      <c r="W13" s="1">
        <f>VLOOKUP($A13,'CAPEX - Manut._Desemborracham.'!$A$3:$J$54,10,FALSE)</f>
        <v>74052.93638116763</v>
      </c>
      <c r="X13" s="1">
        <v>0</v>
      </c>
      <c r="Y13" s="1">
        <f>VLOOKUP($A13,'CAPEX - Manutenção_PPD'!$A$3:$H$22,8,FALSE)+VLOOKUP($A13,'CAPEX - Manutenção_PTR_Taxiway'!$A$3:$H$22,8,FALSE)+VLOOKUP($A13,'CAPEX - Manutenção_Pátio'!$A$3:$H$22,8,FALSE)+VLOOKUP($A13,'CAPEX - Manut._Desemborracham.'!$A$3:$K$54,11,FALSE)</f>
        <v>283902.54638116766</v>
      </c>
      <c r="Z13" s="1">
        <v>0</v>
      </c>
      <c r="AA13" s="1">
        <f>VLOOKUP($A13,'CAPEX - Manutenção_PPD'!$A$3:$I$22,9,FALSE)+VLOOKUP($A13,'CAPEX - Manutenção_PTR_Taxiway'!$A$3:$I$22,9,FALSE)+VLOOKUP($A13,'CAPEX - Manutenção_Pátio'!$A$3:$I$22,9,FALSE)+VLOOKUP($A13,'CAPEX - Manut._Desemborracham.'!$A$3:$L$54,12,FALSE)</f>
        <v>10434355.616381165</v>
      </c>
      <c r="AB13" s="1">
        <v>0</v>
      </c>
      <c r="AC13" s="1">
        <f>VLOOKUP($A13,'CAPEX - Manut._Desemborracham.'!$A$3:$M$54,13,FALSE)</f>
        <v>74052.93638116763</v>
      </c>
      <c r="AD13" s="1">
        <v>0</v>
      </c>
      <c r="AE13" s="1">
        <f>VLOOKUP($A13,'CAPEX - Manut._Desemborracham.'!$A$3:$N$54,14,FALSE)</f>
        <v>74052.93638116763</v>
      </c>
      <c r="AF13" s="1">
        <f>VLOOKUP($A13,'CAPEX - Manutenção_PPD'!$A$3:$J$22,10,FALSE)+VLOOKUP($A13,'CAPEX - Manutenção_PTR_Taxiway'!$A$3:$J$22,10,FALSE)+VLOOKUP($A13,'CAPEX - Manutenção_Pátio'!$A$3:$J$22,10,FALSE)</f>
        <v>209849.61000000002</v>
      </c>
      <c r="AG13" s="1">
        <f>VLOOKUP($A13,'CAPEX - Manut._Desemborracham.'!$A$3:$O$54,15,FALSE)</f>
        <v>74052.93638116763</v>
      </c>
      <c r="AH13" s="1">
        <v>0</v>
      </c>
      <c r="AI13" s="1">
        <f>VLOOKUP($A13,'CAPEX - Manutenção_PPD'!$A$3:$K$22,11,FALSE)+VLOOKUP($A13,'CAPEX - Manutenção_PTR_Taxiway'!$A$3:$K$22,11,FALSE)+VLOOKUP($A13,'CAPEX - Manutenção_Pátio'!$A$3:$K$22,11,FALSE)+VLOOKUP($A13,'CAPEX - Manut._Desemborracham.'!$A$3:$P$54,16,FALSE)</f>
        <v>283902.54638116766</v>
      </c>
      <c r="AJ13" s="1">
        <v>0</v>
      </c>
      <c r="AK13" s="1">
        <f>VLOOKUP($A13,'CAPEX - Manut._Desemborracham.'!$A$3:$Q$54,17,FALSE)</f>
        <v>74052.93638116763</v>
      </c>
      <c r="AL13" s="1">
        <v>0</v>
      </c>
      <c r="AM13" s="1">
        <f t="shared" si="0"/>
        <v>55530882.675717525</v>
      </c>
      <c r="AN13" t="str">
        <f>VLOOKUP(C13,'[11]CAPEX - BLOCOS PAN'!$C$3:$AN$249,38,FALSE)</f>
        <v>NE e CO</v>
      </c>
      <c r="AO13" s="3">
        <f>VLOOKUP($A13,'BASE PAN - CAPEX'!$A$3:$H$22,8,FALSE)</f>
        <v>3</v>
      </c>
      <c r="AP13" s="3">
        <v>1</v>
      </c>
      <c r="AQ13" s="3" t="s">
        <v>97</v>
      </c>
      <c r="AR13" s="3">
        <v>2038</v>
      </c>
      <c r="AS13" s="3">
        <v>2024</v>
      </c>
      <c r="AT13" s="3" t="s">
        <v>97</v>
      </c>
      <c r="AU13" s="3">
        <v>3</v>
      </c>
      <c r="AV13" s="3">
        <v>2</v>
      </c>
    </row>
    <row r="14" spans="1:48" x14ac:dyDescent="0.25">
      <c r="A14" t="s">
        <v>80</v>
      </c>
      <c r="B14" t="s">
        <v>81</v>
      </c>
      <c r="C14" t="s">
        <v>82</v>
      </c>
      <c r="D14" t="s">
        <v>83</v>
      </c>
      <c r="E14" t="s">
        <v>33</v>
      </c>
      <c r="F14" t="s">
        <v>28</v>
      </c>
      <c r="G14" t="s">
        <v>29</v>
      </c>
      <c r="H14" s="1">
        <f>(VLOOKUP($A14,'BASE PAN - CAPEX'!$A$3:$I$22,9,FALSE)*$C$24)+VLOOKUP($A14,'CAPEX - Manutenção_PPD'!$A$3:$C$22,3,FALSE)+VLOOKUP($A14,'CAPEX - Manutenção_PTR_Taxiway'!$A$3:$C$22,3,FALSE)+VLOOKUP($A14,'CAPEX - Manutenção_Pátio'!$A$3:$C$22,3,FALSE)+VLOOKUP($A14,'CAPEX - Navegação Aérea'!$A$3:$H$22,8,FALSE)</f>
        <v>28776000</v>
      </c>
      <c r="I14" s="1">
        <f>VLOOKUP($A14,'CAPEX - Manut._Desemborracham.'!$A$3:$C$54,3,FALSE)</f>
        <v>0</v>
      </c>
      <c r="J14" s="1">
        <v>0</v>
      </c>
      <c r="K14" s="1">
        <f>VLOOKUP($A14,'CAPEX - Manut._Desemborracham.'!$A$3:$D$54,4,FALSE)</f>
        <v>0</v>
      </c>
      <c r="L14" s="1">
        <f>VLOOKUP($A14,'CAPEX - Manutenção_PPD'!$A$3:$D$22,4,FALSE)+VLOOKUP($A14,'CAPEX - Manutenção_PTR_Taxiway'!$A$3:$D$22,4,FALSE)+VLOOKUP($A14,'CAPEX - Manutenção_Pátio'!$A$3:$D$22,4,FALSE)</f>
        <v>176280.99</v>
      </c>
      <c r="M14" s="1">
        <f>VLOOKUP($A14,'CAPEX - Manut._Desemborracham.'!$A$3:$E$54,5,FALSE)</f>
        <v>0</v>
      </c>
      <c r="N14" s="1">
        <v>0</v>
      </c>
      <c r="O14" s="1">
        <f>VLOOKUP($A14,'CAPEX - Manutenção_PPD'!$A$3:$E$22,5,FALSE)+VLOOKUP($A14,'CAPEX - Manutenção_PTR_Taxiway'!$A$3:$E$22,5,FALSE)+VLOOKUP($A14,'CAPEX - Manutenção_Pátio'!$A$3:$E$22,5,FALSE)+VLOOKUP($A14,'CAPEX - Manut._Desemborracham.'!$A$3:$F$54,6,FALSE)</f>
        <v>176280.99</v>
      </c>
      <c r="P14" s="1">
        <v>0</v>
      </c>
      <c r="Q14" s="1">
        <f>VLOOKUP($A14,'CAPEX - Manutenção_PPD'!$A$3:$F$22,6,FALSE)+VLOOKUP($A14,'CAPEX - Manutenção_PTR_Taxiway'!$A$3:$F$22,6,FALSE)+VLOOKUP($A14,'CAPEX - Manutenção_Pátio'!$A$3:$F$22,6,FALSE)+VLOOKUP($A14,'CAPEX - Manut._Desemborracham.'!$A$3:$G$54,7,FALSE)</f>
        <v>9253990.910000002</v>
      </c>
      <c r="R14" s="1">
        <v>0</v>
      </c>
      <c r="S14" s="1">
        <f>VLOOKUP($A14,'CAPEX - Manut._Desemborracham.'!$A$3:$H$54,8,FALSE)</f>
        <v>0</v>
      </c>
      <c r="T14" s="1">
        <v>0</v>
      </c>
      <c r="U14" s="1">
        <f>VLOOKUP($A14,'CAPEX - Manut._Desemborracham.'!$A$3:$I$54,9,FALSE)</f>
        <v>0</v>
      </c>
      <c r="V14" s="1">
        <f>VLOOKUP($A14,'CAPEX - Manutenção_PPD'!$A$3:$G$22,7,FALSE)+VLOOKUP($A14,'CAPEX - Manutenção_PTR_Taxiway'!$A$3:$G$22,7,FALSE)+VLOOKUP($A14,'CAPEX - Manutenção_Pátio'!$A$3:$G$22,7,FALSE)</f>
        <v>7369668.2600000007</v>
      </c>
      <c r="W14" s="1">
        <f>VLOOKUP($A14,'CAPEX - Manut._Desemborracham.'!$A$3:$J$54,10,FALSE)</f>
        <v>0</v>
      </c>
      <c r="X14" s="1">
        <v>0</v>
      </c>
      <c r="Y14" s="1">
        <f>VLOOKUP($A14,'CAPEX - Manutenção_PPD'!$A$3:$H$22,8,FALSE)+VLOOKUP($A14,'CAPEX - Manutenção_PTR_Taxiway'!$A$3:$H$22,8,FALSE)+VLOOKUP($A14,'CAPEX - Manutenção_Pátio'!$A$3:$H$22,8,FALSE)+VLOOKUP($A14,'CAPEX - Manut._Desemborracham.'!$A$3:$K$54,11,FALSE)</f>
        <v>176280.99</v>
      </c>
      <c r="Z14" s="1">
        <v>0</v>
      </c>
      <c r="AA14" s="1">
        <f>VLOOKUP($A14,'CAPEX - Manutenção_PPD'!$A$3:$I$22,9,FALSE)+VLOOKUP($A14,'CAPEX - Manutenção_PTR_Taxiway'!$A$3:$I$22,9,FALSE)+VLOOKUP($A14,'CAPEX - Manutenção_Pátio'!$A$3:$I$22,9,FALSE)+VLOOKUP($A14,'CAPEX - Manut._Desemborracham.'!$A$3:$L$54,12,FALSE)</f>
        <v>9253990.910000002</v>
      </c>
      <c r="AB14" s="1">
        <v>0</v>
      </c>
      <c r="AC14" s="1">
        <f>VLOOKUP($A14,'CAPEX - Manut._Desemborracham.'!$A$3:$M$54,13,FALSE)</f>
        <v>0</v>
      </c>
      <c r="AD14" s="1">
        <v>0</v>
      </c>
      <c r="AE14" s="1">
        <f>VLOOKUP($A14,'CAPEX - Manut._Desemborracham.'!$A$3:$N$54,14,FALSE)</f>
        <v>0</v>
      </c>
      <c r="AF14" s="1">
        <f>VLOOKUP($A14,'CAPEX - Manutenção_PPD'!$A$3:$J$22,10,FALSE)+VLOOKUP($A14,'CAPEX - Manutenção_PTR_Taxiway'!$A$3:$J$22,10,FALSE)+VLOOKUP($A14,'CAPEX - Manutenção_Pátio'!$A$3:$J$22,10,FALSE)</f>
        <v>176280.99</v>
      </c>
      <c r="AG14" s="1">
        <f>VLOOKUP($A14,'CAPEX - Manut._Desemborracham.'!$A$3:$O$54,15,FALSE)</f>
        <v>0</v>
      </c>
      <c r="AH14" s="1">
        <v>0</v>
      </c>
      <c r="AI14" s="1">
        <f>VLOOKUP($A14,'CAPEX - Manutenção_PPD'!$A$3:$K$22,11,FALSE)+VLOOKUP($A14,'CAPEX - Manutenção_PTR_Taxiway'!$A$3:$K$22,11,FALSE)+VLOOKUP($A14,'CAPEX - Manutenção_Pátio'!$A$3:$K$22,11,FALSE)+VLOOKUP($A14,'CAPEX - Manut._Desemborracham.'!$A$3:$P$54,16,FALSE)</f>
        <v>176280.99</v>
      </c>
      <c r="AJ14" s="1">
        <v>0</v>
      </c>
      <c r="AK14" s="1">
        <f>VLOOKUP($A14,'CAPEX - Manut._Desemborracham.'!$A$3:$Q$54,17,FALSE)</f>
        <v>0</v>
      </c>
      <c r="AL14" s="1">
        <v>0</v>
      </c>
      <c r="AM14" s="1">
        <f t="shared" si="0"/>
        <v>55535055.030000009</v>
      </c>
      <c r="AN14" t="str">
        <f>VLOOKUP(C14,'[11]CAPEX - BLOCOS PAN'!$C$3:$AN$249,38,FALSE)</f>
        <v>NE e CO</v>
      </c>
      <c r="AO14" s="3">
        <f>VLOOKUP($A14,'BASE PAN - CAPEX'!$A$3:$H$22,8,FALSE)</f>
        <v>2</v>
      </c>
      <c r="AP14" s="3">
        <v>1</v>
      </c>
      <c r="AQ14" s="3" t="s">
        <v>97</v>
      </c>
      <c r="AR14" s="3" t="s">
        <v>97</v>
      </c>
      <c r="AS14" s="3">
        <v>2029</v>
      </c>
      <c r="AT14" s="3" t="s">
        <v>97</v>
      </c>
      <c r="AU14" s="3" t="s">
        <v>97</v>
      </c>
      <c r="AV14" s="3">
        <v>2</v>
      </c>
    </row>
    <row r="15" spans="1:48" x14ac:dyDescent="0.25">
      <c r="A15" t="s">
        <v>85</v>
      </c>
      <c r="B15" t="s">
        <v>86</v>
      </c>
      <c r="C15" t="s">
        <v>87</v>
      </c>
      <c r="D15" t="s">
        <v>86</v>
      </c>
      <c r="E15" t="s">
        <v>30</v>
      </c>
      <c r="F15" t="s">
        <v>28</v>
      </c>
      <c r="G15" t="s">
        <v>29</v>
      </c>
      <c r="H15" s="1">
        <f>(VLOOKUP($A15,'BASE PAN - CAPEX'!$A$3:$I$22,9,FALSE)*$C$25)+VLOOKUP($A15,'CAPEX - Manutenção_PPD'!$A$3:$C$22,3,FALSE)+VLOOKUP($A15,'CAPEX - Manutenção_PTR_Taxiway'!$A$3:$C$22,3,FALSE)+VLOOKUP($A15,'CAPEX - Manutenção_Pátio'!$A$3:$C$22,3,FALSE)+VLOOKUP($A15,'CAPEX - Navegação Aérea'!$A$3:$H$22,8,FALSE)</f>
        <v>74279000</v>
      </c>
      <c r="I15" s="1">
        <f>VLOOKUP($A15,'CAPEX - Manut._Desemborracham.'!$A$3:$C$54,3,FALSE)</f>
        <v>97050.257266612709</v>
      </c>
      <c r="J15" s="1">
        <v>0</v>
      </c>
      <c r="K15" s="1">
        <f>VLOOKUP($A15,'CAPEX - Manut._Desemborracham.'!$A$3:$D$54,4,FALSE)</f>
        <v>97050.257266612709</v>
      </c>
      <c r="L15" s="1">
        <f>VLOOKUP($A15,'CAPEX - Manutenção_PPD'!$A$3:$D$22,4,FALSE)+VLOOKUP($A15,'CAPEX - Manutenção_PTR_Taxiway'!$A$3:$D$22,4,FALSE)+VLOOKUP($A15,'CAPEX - Manutenção_Pátio'!$A$3:$D$22,4,FALSE)</f>
        <v>221148.2</v>
      </c>
      <c r="M15" s="1">
        <f>VLOOKUP($A15,'CAPEX - Manut._Desemborracham.'!$A$3:$E$54,5,FALSE)</f>
        <v>97050.257266612709</v>
      </c>
      <c r="N15" s="1">
        <v>0</v>
      </c>
      <c r="O15" s="1">
        <f>VLOOKUP($A15,'CAPEX - Manutenção_PPD'!$A$3:$E$22,5,FALSE)+VLOOKUP($A15,'CAPEX - Manutenção_PTR_Taxiway'!$A$3:$E$22,5,FALSE)+VLOOKUP($A15,'CAPEX - Manutenção_Pátio'!$A$3:$E$22,5,FALSE)+VLOOKUP($A15,'CAPEX - Manut._Desemborracham.'!$A$3:$F$54,6,FALSE)</f>
        <v>318198.45726661274</v>
      </c>
      <c r="P15" s="1">
        <v>0</v>
      </c>
      <c r="Q15" s="1">
        <f>VLOOKUP($A15,'CAPEX - Manutenção_PPD'!$A$3:$F$22,6,FALSE)+VLOOKUP($A15,'CAPEX - Manutenção_PTR_Taxiway'!$A$3:$F$22,6,FALSE)+VLOOKUP($A15,'CAPEX - Manutenção_Pátio'!$A$3:$F$22,6,FALSE)+VLOOKUP($A15,'CAPEX - Manut._Desemborracham.'!$A$3:$G$54,7,FALSE)</f>
        <v>9084197.3172666114</v>
      </c>
      <c r="R15" s="1">
        <v>0</v>
      </c>
      <c r="S15" s="1">
        <f>VLOOKUP($A15,'CAPEX - Manut._Desemborracham.'!$A$3:$H$54,8,FALSE)</f>
        <v>97050.257266612709</v>
      </c>
      <c r="T15" s="1">
        <v>0</v>
      </c>
      <c r="U15" s="1">
        <f>VLOOKUP($A15,'CAPEX - Manut._Desemborracham.'!$A$3:$I$54,9,FALSE)</f>
        <v>97050.257266612709</v>
      </c>
      <c r="V15" s="1">
        <f>VLOOKUP($A15,'CAPEX - Manutenção_PPD'!$A$3:$G$22,7,FALSE)+VLOOKUP($A15,'CAPEX - Manutenção_PTR_Taxiway'!$A$3:$G$22,7,FALSE)+VLOOKUP($A15,'CAPEX - Manutenção_Pátio'!$A$3:$G$22,7,FALSE)</f>
        <v>5407363.2599999998</v>
      </c>
      <c r="W15" s="1">
        <f>VLOOKUP($A15,'CAPEX - Manut._Desemborracham.'!$A$3:$J$54,10,FALSE)</f>
        <v>97050.257266612709</v>
      </c>
      <c r="X15" s="1">
        <v>0</v>
      </c>
      <c r="Y15" s="1">
        <f>VLOOKUP($A15,'CAPEX - Manutenção_PPD'!$A$3:$H$22,8,FALSE)+VLOOKUP($A15,'CAPEX - Manutenção_PTR_Taxiway'!$A$3:$H$22,8,FALSE)+VLOOKUP($A15,'CAPEX - Manutenção_Pátio'!$A$3:$H$22,8,FALSE)+VLOOKUP($A15,'CAPEX - Manut._Desemborracham.'!$A$3:$K$54,11,FALSE)</f>
        <v>318198.45726661274</v>
      </c>
      <c r="Z15" s="1">
        <v>0</v>
      </c>
      <c r="AA15" s="1">
        <f>VLOOKUP($A15,'CAPEX - Manutenção_PPD'!$A$3:$I$22,9,FALSE)+VLOOKUP($A15,'CAPEX - Manutenção_PTR_Taxiway'!$A$3:$I$22,9,FALSE)+VLOOKUP($A15,'CAPEX - Manutenção_Pátio'!$A$3:$I$22,9,FALSE)+VLOOKUP($A15,'CAPEX - Manut._Desemborracham.'!$A$3:$L$54,12,FALSE)</f>
        <v>9084197.3172666114</v>
      </c>
      <c r="AB15" s="1">
        <v>0</v>
      </c>
      <c r="AC15" s="1">
        <f>VLOOKUP($A15,'CAPEX - Manut._Desemborracham.'!$A$3:$M$54,13,FALSE)</f>
        <v>97050.257266612709</v>
      </c>
      <c r="AD15" s="1">
        <v>0</v>
      </c>
      <c r="AE15" s="1">
        <f>VLOOKUP($A15,'CAPEX - Manut._Desemborracham.'!$A$3:$N$54,14,FALSE)</f>
        <v>97050.257266612709</v>
      </c>
      <c r="AF15" s="1">
        <f>VLOOKUP($A15,'CAPEX - Manutenção_PPD'!$A$3:$J$22,10,FALSE)+VLOOKUP($A15,'CAPEX - Manutenção_PTR_Taxiway'!$A$3:$J$22,10,FALSE)+VLOOKUP($A15,'CAPEX - Manutenção_Pátio'!$A$3:$J$22,10,FALSE)</f>
        <v>221148.2</v>
      </c>
      <c r="AG15" s="1">
        <f>VLOOKUP($A15,'CAPEX - Manut._Desemborracham.'!$A$3:$O$54,15,FALSE)</f>
        <v>97050.257266612709</v>
      </c>
      <c r="AH15" s="1">
        <v>0</v>
      </c>
      <c r="AI15" s="1">
        <f>VLOOKUP($A15,'CAPEX - Manutenção_PPD'!$A$3:$K$22,11,FALSE)+VLOOKUP($A15,'CAPEX - Manutenção_PTR_Taxiway'!$A$3:$K$22,11,FALSE)+VLOOKUP($A15,'CAPEX - Manutenção_Pátio'!$A$3:$K$22,11,FALSE)+VLOOKUP($A15,'CAPEX - Manut._Desemborracham.'!$A$3:$P$54,16,FALSE)</f>
        <v>318198.45726661274</v>
      </c>
      <c r="AJ15" s="1">
        <v>0</v>
      </c>
      <c r="AK15" s="1">
        <f>VLOOKUP($A15,'CAPEX - Manut._Desemborracham.'!$A$3:$Q$54,17,FALSE)</f>
        <v>97050.257266612709</v>
      </c>
      <c r="AL15" s="1">
        <v>0</v>
      </c>
      <c r="AM15" s="1">
        <f t="shared" si="0"/>
        <v>100222152.23899919</v>
      </c>
      <c r="AN15" t="str">
        <f>VLOOKUP(C15,'[11]CAPEX - BLOCOS PAN'!$C$3:$AN$249,38,FALSE)</f>
        <v>N</v>
      </c>
      <c r="AO15" s="3">
        <f>VLOOKUP($A15,'BASE PAN - CAPEX'!$A$3:$H$22,8,FALSE)</f>
        <v>3</v>
      </c>
      <c r="AP15" s="3">
        <v>3</v>
      </c>
      <c r="AQ15" s="3" t="s">
        <v>97</v>
      </c>
      <c r="AR15" s="3" t="s">
        <v>97</v>
      </c>
      <c r="AS15" s="3" t="s">
        <v>97</v>
      </c>
      <c r="AT15" s="3" t="s">
        <v>97</v>
      </c>
      <c r="AU15" s="3" t="s">
        <v>97</v>
      </c>
      <c r="AV15" s="3" t="s">
        <v>97</v>
      </c>
    </row>
    <row r="16" spans="1:48" x14ac:dyDescent="0.25">
      <c r="A16" t="s">
        <v>130</v>
      </c>
      <c r="B16" t="s">
        <v>131</v>
      </c>
      <c r="C16" t="s">
        <v>136</v>
      </c>
      <c r="D16" t="s">
        <v>131</v>
      </c>
      <c r="E16" t="s">
        <v>26</v>
      </c>
      <c r="F16" t="s">
        <v>28</v>
      </c>
      <c r="G16" t="s">
        <v>29</v>
      </c>
      <c r="H16" s="1">
        <f>(VLOOKUP($A16,'BASE PAN - CAPEX'!$A$3:$I$22,9,FALSE)*$C$24)+VLOOKUP($A16,'CAPEX - Manutenção_PPD'!$A$3:$C$22,3,FALSE)+VLOOKUP($A16,'CAPEX - Manutenção_PTR_Taxiway'!$A$3:$C$22,3,FALSE)+VLOOKUP($A16,'CAPEX - Manutenção_Pátio'!$A$3:$C$22,3,FALSE)+VLOOKUP($A16,'CAPEX - Navegação Aérea'!$A$3:$H$22,8,FALSE)</f>
        <v>35535443.670000002</v>
      </c>
      <c r="I16" s="1">
        <f>VLOOKUP($A16,'CAPEX - Manut._Desemborracham.'!$A$3:$C$54,3,FALSE)</f>
        <v>76970.375486450852</v>
      </c>
      <c r="J16" s="1">
        <v>0</v>
      </c>
      <c r="K16" s="1">
        <f>VLOOKUP($A16,'CAPEX - Manut._Desemborracham.'!$A$3:$D$54,4,FALSE)</f>
        <v>76970.375486450852</v>
      </c>
      <c r="L16" s="1">
        <f>VLOOKUP($A16,'CAPEX - Manutenção_PPD'!$A$3:$D$22,4,FALSE)+VLOOKUP($A16,'CAPEX - Manutenção_PTR_Taxiway'!$A$3:$D$22,4,FALSE)+VLOOKUP($A16,'CAPEX - Manutenção_Pátio'!$A$3:$D$22,4,FALSE)</f>
        <v>206408.15999999997</v>
      </c>
      <c r="M16" s="1">
        <f>VLOOKUP($A16,'CAPEX - Manut._Desemborracham.'!$A$3:$E$54,5,FALSE)</f>
        <v>76970.375486450852</v>
      </c>
      <c r="N16" s="1">
        <v>0</v>
      </c>
      <c r="O16" s="1">
        <f>VLOOKUP($A16,'CAPEX - Manutenção_PPD'!$A$3:$E$22,5,FALSE)+VLOOKUP($A16,'CAPEX - Manutenção_PTR_Taxiway'!$A$3:$E$22,5,FALSE)+VLOOKUP($A16,'CAPEX - Manutenção_Pátio'!$A$3:$E$22,5,FALSE)+VLOOKUP($A16,'CAPEX - Manut._Desemborracham.'!$A$3:$F$54,6,FALSE)</f>
        <v>283378.53548645083</v>
      </c>
      <c r="P16" s="1">
        <v>0</v>
      </c>
      <c r="Q16" s="1">
        <f>VLOOKUP($A16,'CAPEX - Manutenção_PPD'!$A$3:$F$22,6,FALSE)+VLOOKUP($A16,'CAPEX - Manutenção_PTR_Taxiway'!$A$3:$F$22,6,FALSE)+VLOOKUP($A16,'CAPEX - Manutenção_Pátio'!$A$3:$F$22,6,FALSE)+VLOOKUP($A16,'CAPEX - Manut._Desemborracham.'!$A$3:$G$54,7,FALSE)</f>
        <v>7496167.5354864514</v>
      </c>
      <c r="R16" s="1">
        <v>0</v>
      </c>
      <c r="S16" s="1">
        <f>VLOOKUP($A16,'CAPEX - Manut._Desemborracham.'!$A$3:$H$54,8,FALSE)</f>
        <v>76970.375486450852</v>
      </c>
      <c r="T16" s="1">
        <v>0</v>
      </c>
      <c r="U16" s="1">
        <f>VLOOKUP($A16,'CAPEX - Manut._Desemborracham.'!$A$3:$I$54,9,FALSE)</f>
        <v>76970.375486450852</v>
      </c>
      <c r="V16" s="1">
        <f>VLOOKUP($A16,'CAPEX - Manutenção_PPD'!$A$3:$G$22,7,FALSE)+VLOOKUP($A16,'CAPEX - Manutenção_PTR_Taxiway'!$A$3:$G$22,7,FALSE)+VLOOKUP($A16,'CAPEX - Manutenção_Pátio'!$A$3:$G$22,7,FALSE)</f>
        <v>5521344.3999999994</v>
      </c>
      <c r="W16" s="1">
        <f>VLOOKUP($A16,'CAPEX - Manut._Desemborracham.'!$A$3:$J$54,10,FALSE)</f>
        <v>76970.375486450852</v>
      </c>
      <c r="X16" s="1">
        <v>0</v>
      </c>
      <c r="Y16" s="1">
        <f>VLOOKUP($A16,'CAPEX - Manutenção_PPD'!$A$3:$H$22,8,FALSE)+VLOOKUP($A16,'CAPEX - Manutenção_PTR_Taxiway'!$A$3:$H$22,8,FALSE)+VLOOKUP($A16,'CAPEX - Manutenção_Pátio'!$A$3:$H$22,8,FALSE)+VLOOKUP($A16,'CAPEX - Manut._Desemborracham.'!$A$3:$K$54,11,FALSE)</f>
        <v>283378.53548645083</v>
      </c>
      <c r="Z16" s="1">
        <v>0</v>
      </c>
      <c r="AA16" s="1">
        <f>VLOOKUP($A16,'CAPEX - Manutenção_PPD'!$A$3:$I$22,9,FALSE)+VLOOKUP($A16,'CAPEX - Manutenção_PTR_Taxiway'!$A$3:$I$22,9,FALSE)+VLOOKUP($A16,'CAPEX - Manutenção_Pátio'!$A$3:$I$22,9,FALSE)+VLOOKUP($A16,'CAPEX - Manut._Desemborracham.'!$A$3:$L$54,12,FALSE)</f>
        <v>7496167.5354864514</v>
      </c>
      <c r="AB16" s="1">
        <v>0</v>
      </c>
      <c r="AC16" s="1">
        <f>VLOOKUP($A16,'CAPEX - Manut._Desemborracham.'!$A$3:$M$54,13,FALSE)</f>
        <v>76970.375486450852</v>
      </c>
      <c r="AD16" s="1">
        <v>0</v>
      </c>
      <c r="AE16" s="1">
        <f>VLOOKUP($A16,'CAPEX - Manut._Desemborracham.'!$A$3:$N$54,14,FALSE)</f>
        <v>76970.375486450852</v>
      </c>
      <c r="AF16" s="1">
        <f>VLOOKUP($A16,'CAPEX - Manutenção_PPD'!$A$3:$J$22,10,FALSE)+VLOOKUP($A16,'CAPEX - Manutenção_PTR_Taxiway'!$A$3:$J$22,10,FALSE)+VLOOKUP($A16,'CAPEX - Manutenção_Pátio'!$A$3:$J$22,10,FALSE)</f>
        <v>206408.15999999997</v>
      </c>
      <c r="AG16" s="1">
        <f>VLOOKUP($A16,'CAPEX - Manut._Desemborracham.'!$A$3:$O$54,15,FALSE)</f>
        <v>76970.375486450852</v>
      </c>
      <c r="AH16" s="1">
        <v>0</v>
      </c>
      <c r="AI16" s="1">
        <f>VLOOKUP($A16,'CAPEX - Manutenção_PPD'!$A$3:$K$22,11,FALSE)+VLOOKUP($A16,'CAPEX - Manutenção_PTR_Taxiway'!$A$3:$K$22,11,FALSE)+VLOOKUP($A16,'CAPEX - Manutenção_Pátio'!$A$3:$K$22,11,FALSE)+VLOOKUP($A16,'CAPEX - Manut._Desemborracham.'!$A$3:$P$54,16,FALSE)</f>
        <v>283378.53548645083</v>
      </c>
      <c r="AJ16" s="1">
        <v>0</v>
      </c>
      <c r="AK16" s="1">
        <f>VLOOKUP($A16,'CAPEX - Manut._Desemborracham.'!$A$3:$Q$54,17,FALSE)</f>
        <v>76970.375486450852</v>
      </c>
      <c r="AL16" s="1">
        <v>0</v>
      </c>
      <c r="AM16" s="1">
        <f t="shared" si="0"/>
        <v>58081778.822296739</v>
      </c>
      <c r="AN16" t="str">
        <f>VLOOKUP(C16,'[11]CAPEX - BLOCOS PAN'!$C$3:$AN$249,38,FALSE)</f>
        <v>NE e CO</v>
      </c>
      <c r="AO16" s="3">
        <f>VLOOKUP($A16,'BASE PAN - CAPEX'!$A$3:$H$22,8,FALSE)</f>
        <v>3</v>
      </c>
      <c r="AP16" s="3">
        <v>3</v>
      </c>
      <c r="AQ16" s="3" t="s">
        <v>97</v>
      </c>
      <c r="AR16" s="3" t="s">
        <v>97</v>
      </c>
      <c r="AS16" s="3" t="s">
        <v>97</v>
      </c>
      <c r="AT16" s="3" t="s">
        <v>97</v>
      </c>
      <c r="AU16" s="3" t="s">
        <v>97</v>
      </c>
      <c r="AV16" s="3" t="s">
        <v>97</v>
      </c>
    </row>
    <row r="17" spans="1:48" x14ac:dyDescent="0.25">
      <c r="A17" t="s">
        <v>91</v>
      </c>
      <c r="B17" t="str">
        <f>VLOOKUP(A17,'BASE PAN - CAPEX'!$A$3:$B$22,2,FALSE)</f>
        <v>PORTO ALEGRE DO NORTE</v>
      </c>
      <c r="C17" t="s">
        <v>137</v>
      </c>
      <c r="D17" t="str">
        <f>VLOOKUP(A17,'BASE PAN - CAPEX'!$A$3:$D$22,4,FALSE)</f>
        <v>Porto Alegre do Norte</v>
      </c>
      <c r="E17" t="s">
        <v>32</v>
      </c>
      <c r="F17" t="s">
        <v>28</v>
      </c>
      <c r="G17" t="s">
        <v>29</v>
      </c>
      <c r="H17" s="1">
        <f>(VLOOKUP($A17,'BASE PAN - CAPEX'!$A$3:$I$22,9,FALSE)*$C$24)+VLOOKUP($A17,'CAPEX - Manutenção_PPD'!$A$3:$C$22,3,FALSE)+VLOOKUP($A17,'CAPEX - Manutenção_PTR_Taxiway'!$A$3:$C$22,3,FALSE)+VLOOKUP($A17,'CAPEX - Manutenção_Pátio'!$A$3:$C$22,3,FALSE)+VLOOKUP($A17,'CAPEX - Navegação Aérea'!$A$3:$H$22,8,FALSE)</f>
        <v>15467610.710000001</v>
      </c>
      <c r="I17" s="1">
        <f>VLOOKUP($A17,'CAPEX - Manut._Desemborracham.'!$A$3:$C$54,3,FALSE)</f>
        <v>0</v>
      </c>
      <c r="J17" s="1">
        <v>0</v>
      </c>
      <c r="K17" s="1">
        <f>VLOOKUP($A17,'CAPEX - Manut._Desemborracham.'!$A$3:$D$54,4,FALSE)</f>
        <v>0</v>
      </c>
      <c r="L17" s="1">
        <f>VLOOKUP($A17,'CAPEX - Manutenção_PPD'!$A$3:$D$22,4,FALSE)+VLOOKUP($A17,'CAPEX - Manutenção_PTR_Taxiway'!$A$3:$D$22,4,FALSE)+VLOOKUP($A17,'CAPEX - Manutenção_Pátio'!$A$3:$D$22,4,FALSE)</f>
        <v>81241.56</v>
      </c>
      <c r="M17" s="1">
        <f>VLOOKUP($A17,'CAPEX - Manut._Desemborracham.'!$A$3:$E$54,5,FALSE)</f>
        <v>0</v>
      </c>
      <c r="N17" s="1">
        <v>0</v>
      </c>
      <c r="O17" s="1">
        <f>VLOOKUP($A17,'CAPEX - Manutenção_PPD'!$A$3:$E$22,5,FALSE)+VLOOKUP($A17,'CAPEX - Manutenção_PTR_Taxiway'!$A$3:$E$22,5,FALSE)+VLOOKUP($A17,'CAPEX - Manutenção_Pátio'!$A$3:$E$22,5,FALSE)+VLOOKUP($A17,'CAPEX - Manut._Desemborracham.'!$A$3:$F$54,6,FALSE)</f>
        <v>81241.56</v>
      </c>
      <c r="P17" s="1">
        <v>0</v>
      </c>
      <c r="Q17" s="1">
        <f>VLOOKUP($A17,'CAPEX - Manutenção_PPD'!$A$3:$F$22,6,FALSE)+VLOOKUP($A17,'CAPEX - Manutenção_PTR_Taxiway'!$A$3:$F$22,6,FALSE)+VLOOKUP($A17,'CAPEX - Manutenção_Pátio'!$A$3:$F$22,6,FALSE)+VLOOKUP($A17,'CAPEX - Manut._Desemborracham.'!$A$3:$G$54,7,FALSE)</f>
        <v>3749720.46</v>
      </c>
      <c r="R17" s="1">
        <v>0</v>
      </c>
      <c r="S17" s="1">
        <f>VLOOKUP($A17,'CAPEX - Manut._Desemborracham.'!$A$3:$H$54,8,FALSE)</f>
        <v>0</v>
      </c>
      <c r="T17" s="1">
        <v>0</v>
      </c>
      <c r="U17" s="1">
        <f>VLOOKUP($A17,'CAPEX - Manut._Desemborracham.'!$A$3:$I$54,9,FALSE)</f>
        <v>0</v>
      </c>
      <c r="V17" s="1">
        <f>VLOOKUP($A17,'CAPEX - Manutenção_PPD'!$A$3:$G$22,7,FALSE)+VLOOKUP($A17,'CAPEX - Manutenção_PTR_Taxiway'!$A$3:$G$22,7,FALSE)+VLOOKUP($A17,'CAPEX - Manutenção_Pátio'!$A$3:$G$22,7,FALSE)</f>
        <v>1938813.98</v>
      </c>
      <c r="W17" s="1">
        <f>VLOOKUP($A17,'CAPEX - Manut._Desemborracham.'!$A$3:$J$54,10,FALSE)</f>
        <v>0</v>
      </c>
      <c r="X17" s="1">
        <v>0</v>
      </c>
      <c r="Y17" s="1">
        <f>VLOOKUP($A17,'CAPEX - Manutenção_PPD'!$A$3:$H$22,8,FALSE)+VLOOKUP($A17,'CAPEX - Manutenção_PTR_Taxiway'!$A$3:$H$22,8,FALSE)+VLOOKUP($A17,'CAPEX - Manutenção_Pátio'!$A$3:$H$22,8,FALSE)+VLOOKUP($A17,'CAPEX - Manut._Desemborracham.'!$A$3:$K$54,11,FALSE)</f>
        <v>81241.56</v>
      </c>
      <c r="Z17" s="1">
        <v>0</v>
      </c>
      <c r="AA17" s="1">
        <f>VLOOKUP($A17,'CAPEX - Manutenção_PPD'!$A$3:$I$22,9,FALSE)+VLOOKUP($A17,'CAPEX - Manutenção_PTR_Taxiway'!$A$3:$I$22,9,FALSE)+VLOOKUP($A17,'CAPEX - Manutenção_Pátio'!$A$3:$I$22,9,FALSE)+VLOOKUP($A17,'CAPEX - Manut._Desemborracham.'!$A$3:$L$54,12,FALSE)</f>
        <v>3749720.46</v>
      </c>
      <c r="AB17" s="1">
        <v>0</v>
      </c>
      <c r="AC17" s="1">
        <f>VLOOKUP($A17,'CAPEX - Manut._Desemborracham.'!$A$3:$M$54,13,FALSE)</f>
        <v>0</v>
      </c>
      <c r="AD17" s="1">
        <v>0</v>
      </c>
      <c r="AE17" s="1">
        <f>VLOOKUP($A17,'CAPEX - Manut._Desemborracham.'!$A$3:$N$54,14,FALSE)</f>
        <v>0</v>
      </c>
      <c r="AF17" s="1">
        <f>VLOOKUP($A17,'CAPEX - Manutenção_PPD'!$A$3:$J$22,10,FALSE)+VLOOKUP($A17,'CAPEX - Manutenção_PTR_Taxiway'!$A$3:$J$22,10,FALSE)+VLOOKUP($A17,'CAPEX - Manutenção_Pátio'!$A$3:$J$22,10,FALSE)</f>
        <v>81241.56</v>
      </c>
      <c r="AG17" s="1">
        <f>VLOOKUP($A17,'CAPEX - Manut._Desemborracham.'!$A$3:$O$54,15,FALSE)</f>
        <v>0</v>
      </c>
      <c r="AH17" s="1">
        <v>0</v>
      </c>
      <c r="AI17" s="1">
        <f>VLOOKUP($A17,'CAPEX - Manutenção_PPD'!$A$3:$K$22,11,FALSE)+VLOOKUP($A17,'CAPEX - Manutenção_PTR_Taxiway'!$A$3:$K$22,11,FALSE)+VLOOKUP($A17,'CAPEX - Manutenção_Pátio'!$A$3:$K$22,11,FALSE)+VLOOKUP($A17,'CAPEX - Manut._Desemborracham.'!$A$3:$P$54,16,FALSE)</f>
        <v>81241.56</v>
      </c>
      <c r="AJ17" s="1">
        <v>0</v>
      </c>
      <c r="AK17" s="1">
        <f>VLOOKUP($A17,'CAPEX - Manut._Desemborracham.'!$A$3:$Q$54,17,FALSE)</f>
        <v>0</v>
      </c>
      <c r="AL17" s="1">
        <v>0</v>
      </c>
      <c r="AM17" s="1">
        <f t="shared" si="0"/>
        <v>25312073.41</v>
      </c>
      <c r="AN17" t="str">
        <f>VLOOKUP(C17,'[11]CAPEX - BLOCOS PAN'!$C$3:$AN$249,38,FALSE)</f>
        <v>NE e CO</v>
      </c>
      <c r="AO17" s="3">
        <f>VLOOKUP($A17,'BASE PAN - CAPEX'!$A$3:$H$22,8,FALSE)</f>
        <v>0</v>
      </c>
      <c r="AP17" s="3" t="s">
        <v>97</v>
      </c>
      <c r="AQ17" s="3" t="s">
        <v>97</v>
      </c>
      <c r="AR17" s="3" t="s">
        <v>97</v>
      </c>
      <c r="AS17" s="3" t="s">
        <v>97</v>
      </c>
      <c r="AT17" s="3" t="s">
        <v>97</v>
      </c>
      <c r="AU17" s="3" t="s">
        <v>97</v>
      </c>
      <c r="AV17" s="3" t="s">
        <v>97</v>
      </c>
    </row>
    <row r="18" spans="1:48" s="17" customFormat="1" x14ac:dyDescent="0.25">
      <c r="A18" s="17" t="s">
        <v>154</v>
      </c>
      <c r="B18" s="30" t="s">
        <v>155</v>
      </c>
      <c r="C18" s="17" t="s">
        <v>156</v>
      </c>
      <c r="D18" s="17" t="s">
        <v>155</v>
      </c>
      <c r="E18" s="17" t="s">
        <v>31</v>
      </c>
      <c r="F18" s="17" t="s">
        <v>28</v>
      </c>
      <c r="G18" s="17" t="s">
        <v>29</v>
      </c>
      <c r="H18" s="1">
        <f>(VLOOKUP($A18,'BASE PAN - CAPEX'!$A$3:$I$22,9,FALSE)*$C$24)+VLOOKUP($A18,'CAPEX - Manutenção_PPD'!$A$3:$C$22,3,FALSE)+VLOOKUP($A18,'CAPEX - Manutenção_PTR_Taxiway'!$A$3:$C$22,3,FALSE)+VLOOKUP($A18,'CAPEX - Manutenção_Pátio'!$A$3:$C$22,3,FALSE)+VLOOKUP($A18,'CAPEX - Navegação Aérea'!$A$3:$H$22,8,FALSE)</f>
        <v>9719459.1699999999</v>
      </c>
      <c r="I18" s="1">
        <f>VLOOKUP($A18,'CAPEX - Manut._Desemborracham.'!$A$3:$C$54,3,FALSE)</f>
        <v>0</v>
      </c>
      <c r="J18" s="1">
        <v>0</v>
      </c>
      <c r="K18" s="1">
        <f>VLOOKUP($A18,'CAPEX - Manut._Desemborracham.'!$A$3:$D$54,4,FALSE)</f>
        <v>0</v>
      </c>
      <c r="L18" s="1">
        <f>VLOOKUP($A18,'CAPEX - Manutenção_PPD'!$A$3:$D$22,4,FALSE)+VLOOKUP($A18,'CAPEX - Manutenção_PTR_Taxiway'!$A$3:$D$22,4,FALSE)+VLOOKUP($A18,'CAPEX - Manutenção_Pátio'!$A$3:$D$22,4,FALSE)</f>
        <v>68451.08</v>
      </c>
      <c r="M18" s="1">
        <f>VLOOKUP($A18,'CAPEX - Manut._Desemborracham.'!$A$3:$E$54,5,FALSE)</f>
        <v>0</v>
      </c>
      <c r="N18" s="1">
        <v>0</v>
      </c>
      <c r="O18" s="1">
        <f>VLOOKUP($A18,'CAPEX - Manutenção_PPD'!$A$3:$E$22,5,FALSE)+VLOOKUP($A18,'CAPEX - Manutenção_PTR_Taxiway'!$A$3:$E$22,5,FALSE)+VLOOKUP($A18,'CAPEX - Manutenção_Pátio'!$A$3:$E$22,5,FALSE)+VLOOKUP($A18,'CAPEX - Manut._Desemborracham.'!$A$3:$F$54,6,FALSE)</f>
        <v>68451.08</v>
      </c>
      <c r="P18" s="1">
        <v>0</v>
      </c>
      <c r="Q18" s="1">
        <f>VLOOKUP($A18,'CAPEX - Manutenção_PPD'!$A$3:$F$22,6,FALSE)+VLOOKUP($A18,'CAPEX - Manutenção_PTR_Taxiway'!$A$3:$F$22,6,FALSE)+VLOOKUP($A18,'CAPEX - Manutenção_Pátio'!$A$3:$F$22,6,FALSE)+VLOOKUP($A18,'CAPEX - Manut._Desemborracham.'!$A$3:$G$54,7,FALSE)</f>
        <v>3843938.1199999996</v>
      </c>
      <c r="R18" s="1">
        <v>0</v>
      </c>
      <c r="S18" s="1">
        <f>VLOOKUP($A18,'CAPEX - Manut._Desemborracham.'!$A$3:$H$54,8,FALSE)</f>
        <v>0</v>
      </c>
      <c r="T18" s="1">
        <v>0</v>
      </c>
      <c r="U18" s="1">
        <f>VLOOKUP($A18,'CAPEX - Manut._Desemborracham.'!$A$3:$I$54,9,FALSE)</f>
        <v>0</v>
      </c>
      <c r="V18" s="1">
        <f>VLOOKUP($A18,'CAPEX - Manutenção_PPD'!$A$3:$G$22,7,FALSE)+VLOOKUP($A18,'CAPEX - Manutenção_PTR_Taxiway'!$A$3:$G$22,7,FALSE)+VLOOKUP($A18,'CAPEX - Manutenção_Pátio'!$A$3:$G$22,7,FALSE)</f>
        <v>1911972.13</v>
      </c>
      <c r="W18" s="1">
        <f>VLOOKUP($A18,'CAPEX - Manut._Desemborracham.'!$A$3:$J$54,10,FALSE)</f>
        <v>0</v>
      </c>
      <c r="X18" s="1">
        <v>0</v>
      </c>
      <c r="Y18" s="1">
        <f>VLOOKUP($A18,'CAPEX - Manutenção_PPD'!$A$3:$H$22,8,FALSE)+VLOOKUP($A18,'CAPEX - Manutenção_PTR_Taxiway'!$A$3:$H$22,8,FALSE)+VLOOKUP($A18,'CAPEX - Manutenção_Pátio'!$A$3:$H$22,8,FALSE)+VLOOKUP($A18,'CAPEX - Manut._Desemborracham.'!$A$3:$K$54,11,FALSE)</f>
        <v>68451.08</v>
      </c>
      <c r="Z18" s="1">
        <v>0</v>
      </c>
      <c r="AA18" s="1">
        <f>VLOOKUP($A18,'CAPEX - Manutenção_PPD'!$A$3:$I$22,9,FALSE)+VLOOKUP($A18,'CAPEX - Manutenção_PTR_Taxiway'!$A$3:$I$22,9,FALSE)+VLOOKUP($A18,'CAPEX - Manutenção_Pátio'!$A$3:$I$22,9,FALSE)+VLOOKUP($A18,'CAPEX - Manut._Desemborracham.'!$A$3:$L$54,12,FALSE)</f>
        <v>3843938.1199999996</v>
      </c>
      <c r="AB18" s="1">
        <v>0</v>
      </c>
      <c r="AC18" s="1">
        <f>VLOOKUP($A18,'CAPEX - Manut._Desemborracham.'!$A$3:$M$54,13,FALSE)</f>
        <v>0</v>
      </c>
      <c r="AD18" s="1">
        <v>0</v>
      </c>
      <c r="AE18" s="1">
        <f>VLOOKUP($A18,'CAPEX - Manut._Desemborracham.'!$A$3:$N$54,14,FALSE)</f>
        <v>0</v>
      </c>
      <c r="AF18" s="1">
        <f>VLOOKUP($A18,'CAPEX - Manutenção_PPD'!$A$3:$J$22,10,FALSE)+VLOOKUP($A18,'CAPEX - Manutenção_PTR_Taxiway'!$A$3:$J$22,10,FALSE)+VLOOKUP($A18,'CAPEX - Manutenção_Pátio'!$A$3:$J$22,10,FALSE)</f>
        <v>68451.08</v>
      </c>
      <c r="AG18" s="1">
        <f>VLOOKUP($A18,'CAPEX - Manut._Desemborracham.'!$A$3:$O$54,15,FALSE)</f>
        <v>0</v>
      </c>
      <c r="AH18" s="1">
        <v>0</v>
      </c>
      <c r="AI18" s="1">
        <f>VLOOKUP($A18,'CAPEX - Manutenção_PPD'!$A$3:$K$22,11,FALSE)+VLOOKUP($A18,'CAPEX - Manutenção_PTR_Taxiway'!$A$3:$K$22,11,FALSE)+VLOOKUP($A18,'CAPEX - Manutenção_Pátio'!$A$3:$K$22,11,FALSE)+VLOOKUP($A18,'CAPEX - Manut._Desemborracham.'!$A$3:$P$54,16,FALSE)</f>
        <v>68451.08</v>
      </c>
      <c r="AJ18" s="1">
        <v>0</v>
      </c>
      <c r="AK18" s="1">
        <f>VLOOKUP($A18,'CAPEX - Manut._Desemborracham.'!$A$3:$Q$54,17,FALSE)</f>
        <v>0</v>
      </c>
      <c r="AL18" s="1">
        <v>0</v>
      </c>
      <c r="AM18" s="28">
        <f t="shared" ref="AM18" si="1">SUM(H18:AL18)</f>
        <v>19661562.939999994</v>
      </c>
      <c r="AN18" s="17" t="str">
        <f>VLOOKUP(C18,'[11]CAPEX - BLOCOS PAN'!$C$3:$AN$249,38,FALSE)</f>
        <v>NE e CO</v>
      </c>
      <c r="AO18" s="3">
        <f>VLOOKUP($A18,'BASE PAN - CAPEX'!$A$3:$H$22,8,FALSE)</f>
        <v>0</v>
      </c>
      <c r="AP18" s="29" t="s">
        <v>97</v>
      </c>
      <c r="AQ18" s="29" t="s">
        <v>97</v>
      </c>
      <c r="AR18" s="29" t="s">
        <v>97</v>
      </c>
      <c r="AS18" s="29" t="s">
        <v>97</v>
      </c>
      <c r="AT18" s="29" t="s">
        <v>97</v>
      </c>
      <c r="AU18" s="29" t="s">
        <v>97</v>
      </c>
      <c r="AV18" s="29" t="s">
        <v>97</v>
      </c>
    </row>
    <row r="19" spans="1:48" s="17" customFormat="1" x14ac:dyDescent="0.25">
      <c r="A19" s="17" t="s">
        <v>157</v>
      </c>
      <c r="B19" s="17" t="s">
        <v>158</v>
      </c>
      <c r="C19" s="17" t="s">
        <v>159</v>
      </c>
      <c r="D19" s="17" t="s">
        <v>158</v>
      </c>
      <c r="E19" s="17" t="s">
        <v>31</v>
      </c>
      <c r="F19" s="17" t="s">
        <v>28</v>
      </c>
      <c r="G19" s="17" t="s">
        <v>29</v>
      </c>
      <c r="H19" s="1">
        <f>(VLOOKUP($A19,'BASE PAN - CAPEX'!$A$3:$I$22,9,FALSE)*$C$24)+VLOOKUP($A19,'CAPEX - Manutenção_PPD'!$A$3:$C$22,3,FALSE)+VLOOKUP($A19,'CAPEX - Manutenção_PTR_Taxiway'!$A$3:$C$22,3,FALSE)+VLOOKUP($A19,'CAPEX - Manutenção_Pátio'!$A$3:$C$22,3,FALSE)+VLOOKUP($A19,'CAPEX - Navegação Aérea'!$A$3:$H$22,8,FALSE)</f>
        <v>11956874.43</v>
      </c>
      <c r="I19" s="1">
        <f>VLOOKUP($A19,'CAPEX - Manut._Desemborracham.'!$A$3:$C$54,3,FALSE)</f>
        <v>0</v>
      </c>
      <c r="J19" s="1">
        <v>0</v>
      </c>
      <c r="K19" s="1">
        <f>VLOOKUP($A19,'CAPEX - Manut._Desemborracham.'!$A$3:$D$54,4,FALSE)</f>
        <v>0</v>
      </c>
      <c r="L19" s="1">
        <f>VLOOKUP($A19,'CAPEX - Manutenção_PPD'!$A$3:$D$22,4,FALSE)+VLOOKUP($A19,'CAPEX - Manutenção_PTR_Taxiway'!$A$3:$D$22,4,FALSE)+VLOOKUP($A19,'CAPEX - Manutenção_Pátio'!$A$3:$D$22,4,FALSE)</f>
        <v>62823</v>
      </c>
      <c r="M19" s="1">
        <f>VLOOKUP($A19,'CAPEX - Manut._Desemborracham.'!$A$3:$E$54,5,FALSE)</f>
        <v>0</v>
      </c>
      <c r="N19" s="1">
        <v>0</v>
      </c>
      <c r="O19" s="1">
        <f>VLOOKUP($A19,'CAPEX - Manutenção_PPD'!$A$3:$E$22,5,FALSE)+VLOOKUP($A19,'CAPEX - Manutenção_PTR_Taxiway'!$A$3:$E$22,5,FALSE)+VLOOKUP($A19,'CAPEX - Manutenção_Pátio'!$A$3:$E$22,5,FALSE)+VLOOKUP($A19,'CAPEX - Manut._Desemborracham.'!$A$3:$F$54,6,FALSE)</f>
        <v>62823</v>
      </c>
      <c r="P19" s="1">
        <v>0</v>
      </c>
      <c r="Q19" s="1">
        <f>VLOOKUP($A19,'CAPEX - Manutenção_PPD'!$A$3:$F$22,6,FALSE)+VLOOKUP($A19,'CAPEX - Manutenção_PTR_Taxiway'!$A$3:$F$22,6,FALSE)+VLOOKUP($A19,'CAPEX - Manutenção_Pátio'!$A$3:$F$22,6,FALSE)+VLOOKUP($A19,'CAPEX - Manut._Desemborracham.'!$A$3:$G$54,7,FALSE)</f>
        <v>4085952.31</v>
      </c>
      <c r="R19" s="1">
        <v>0</v>
      </c>
      <c r="S19" s="1">
        <f>VLOOKUP($A19,'CAPEX - Manut._Desemborracham.'!$A$3:$H$54,8,FALSE)</f>
        <v>0</v>
      </c>
      <c r="T19" s="1">
        <v>0</v>
      </c>
      <c r="U19" s="1">
        <f>VLOOKUP($A19,'CAPEX - Manut._Desemborracham.'!$A$3:$I$54,9,FALSE)</f>
        <v>0</v>
      </c>
      <c r="V19" s="1">
        <f>VLOOKUP($A19,'CAPEX - Manutenção_PPD'!$A$3:$G$22,7,FALSE)+VLOOKUP($A19,'CAPEX - Manutenção_PTR_Taxiway'!$A$3:$G$22,7,FALSE)+VLOOKUP($A19,'CAPEX - Manutenção_Pátio'!$A$3:$G$22,7,FALSE)</f>
        <v>1632888.42</v>
      </c>
      <c r="W19" s="1">
        <f>VLOOKUP($A19,'CAPEX - Manut._Desemborracham.'!$A$3:$J$54,10,FALSE)</f>
        <v>0</v>
      </c>
      <c r="X19" s="1">
        <v>0</v>
      </c>
      <c r="Y19" s="1">
        <f>VLOOKUP($A19,'CAPEX - Manutenção_PPD'!$A$3:$H$22,8,FALSE)+VLOOKUP($A19,'CAPEX - Manutenção_PTR_Taxiway'!$A$3:$H$22,8,FALSE)+VLOOKUP($A19,'CAPEX - Manutenção_Pátio'!$A$3:$H$22,8,FALSE)+VLOOKUP($A19,'CAPEX - Manut._Desemborracham.'!$A$3:$K$54,11,FALSE)</f>
        <v>62823</v>
      </c>
      <c r="Z19" s="1">
        <v>0</v>
      </c>
      <c r="AA19" s="1">
        <f>VLOOKUP($A19,'CAPEX - Manutenção_PPD'!$A$3:$I$22,9,FALSE)+VLOOKUP($A19,'CAPEX - Manutenção_PTR_Taxiway'!$A$3:$I$22,9,FALSE)+VLOOKUP($A19,'CAPEX - Manutenção_Pátio'!$A$3:$I$22,9,FALSE)+VLOOKUP($A19,'CAPEX - Manut._Desemborracham.'!$A$3:$L$54,12,FALSE)</f>
        <v>4085952.31</v>
      </c>
      <c r="AB19" s="1">
        <v>0</v>
      </c>
      <c r="AC19" s="1">
        <f>VLOOKUP($A19,'CAPEX - Manut._Desemborracham.'!$A$3:$M$54,13,FALSE)</f>
        <v>0</v>
      </c>
      <c r="AD19" s="1">
        <v>0</v>
      </c>
      <c r="AE19" s="1">
        <f>VLOOKUP($A19,'CAPEX - Manut._Desemborracham.'!$A$3:$N$54,14,FALSE)</f>
        <v>0</v>
      </c>
      <c r="AF19" s="1">
        <f>VLOOKUP($A19,'CAPEX - Manutenção_PPD'!$A$3:$J$22,10,FALSE)+VLOOKUP($A19,'CAPEX - Manutenção_PTR_Taxiway'!$A$3:$J$22,10,FALSE)+VLOOKUP($A19,'CAPEX - Manutenção_Pátio'!$A$3:$J$22,10,FALSE)</f>
        <v>62823</v>
      </c>
      <c r="AG19" s="1">
        <f>VLOOKUP($A19,'CAPEX - Manut._Desemborracham.'!$A$3:$O$54,15,FALSE)</f>
        <v>0</v>
      </c>
      <c r="AH19" s="1">
        <v>0</v>
      </c>
      <c r="AI19" s="1">
        <f>VLOOKUP($A19,'CAPEX - Manutenção_PPD'!$A$3:$K$22,11,FALSE)+VLOOKUP($A19,'CAPEX - Manutenção_PTR_Taxiway'!$A$3:$K$22,11,FALSE)+VLOOKUP($A19,'CAPEX - Manutenção_Pátio'!$A$3:$K$22,11,FALSE)+VLOOKUP($A19,'CAPEX - Manut._Desemborracham.'!$A$3:$P$54,16,FALSE)</f>
        <v>62823</v>
      </c>
      <c r="AJ19" s="1">
        <v>0</v>
      </c>
      <c r="AK19" s="1">
        <f>VLOOKUP($A19,'CAPEX - Manut._Desemborracham.'!$A$3:$Q$54,17,FALSE)</f>
        <v>0</v>
      </c>
      <c r="AL19" s="1">
        <v>0</v>
      </c>
      <c r="AM19" s="28">
        <f t="shared" ref="AM19" si="2">SUM(H19:AL19)</f>
        <v>22075782.469999999</v>
      </c>
      <c r="AN19" s="17" t="str">
        <f>VLOOKUP(C19,'[11]CAPEX - BLOCOS PAN'!$C$3:$AN$249,38,FALSE)</f>
        <v>NE e CO</v>
      </c>
      <c r="AO19" s="3">
        <f>VLOOKUP($A19,'BASE PAN - CAPEX'!$A$3:$H$22,8,FALSE)</f>
        <v>0</v>
      </c>
      <c r="AP19" s="29" t="s">
        <v>97</v>
      </c>
      <c r="AQ19" s="29" t="s">
        <v>97</v>
      </c>
      <c r="AR19" s="29" t="s">
        <v>97</v>
      </c>
      <c r="AS19" s="29" t="s">
        <v>97</v>
      </c>
      <c r="AT19" s="29" t="s">
        <v>97</v>
      </c>
      <c r="AU19" s="29" t="s">
        <v>97</v>
      </c>
      <c r="AV19" s="29" t="s">
        <v>97</v>
      </c>
    </row>
    <row r="20" spans="1:48" s="17" customFormat="1" x14ac:dyDescent="0.25">
      <c r="A20" s="17" t="s">
        <v>317</v>
      </c>
      <c r="B20" s="30" t="str">
        <f>VLOOKUP(A20,'CAPEX - Navegação Aérea'!$A$3:$B$22,2,FALSE)</f>
        <v>COMANDANTE ARISTON PESSOA</v>
      </c>
      <c r="C20" s="17" t="str">
        <f>VLOOKUP(A20,'[10]FLUXO DE CAIXA DESC.-BLOCOS PAN'!$A$3:$D$251,4,FALSE)</f>
        <v>SNAT230110</v>
      </c>
      <c r="D20" s="17" t="s">
        <v>318</v>
      </c>
      <c r="E20" s="17" t="s">
        <v>319</v>
      </c>
      <c r="F20" s="17" t="s">
        <v>28</v>
      </c>
      <c r="G20" s="17" t="s">
        <v>29</v>
      </c>
      <c r="H20" s="28">
        <f>(VLOOKUP($A20,'BASE PAN - CAPEX'!$A$3:$I$22,9,FALSE)*$C$24)+VLOOKUP($A20,'CAPEX - Manutenção_PPD'!$A$3:$C$22,3,FALSE)+VLOOKUP($A20,'CAPEX - Manutenção_PTR_Taxiway'!$A$3:$C$22,3,FALSE)+VLOOKUP($A20,'CAPEX - Manutenção_Pátio'!$A$3:$C$22,3,FALSE)+VLOOKUP($A20,'CAPEX - Navegação Aérea'!$A$3:$H$22,8,FALSE)</f>
        <v>16296000</v>
      </c>
      <c r="I20" s="28">
        <f>VLOOKUP($A20,'CAPEX - Manut._Desemborracham.'!$A$3:$C$54,3,FALSE)</f>
        <v>60943.086045549135</v>
      </c>
      <c r="J20" s="28">
        <v>0</v>
      </c>
      <c r="K20" s="28">
        <f>VLOOKUP($A20,'CAPEX - Manut._Desemborracham.'!$A$3:$D$54,4,FALSE)</f>
        <v>60943.086045549135</v>
      </c>
      <c r="L20" s="28">
        <f>VLOOKUP($A20,'CAPEX - Manutenção_PPD'!$A$3:$D$22,4,FALSE)+VLOOKUP($A20,'CAPEX - Manutenção_PTR_Taxiway'!$A$3:$D$22,4,FALSE)+VLOOKUP($A20,'CAPEX - Manutenção_Pátio'!$A$3:$D$22,4,FALSE)</f>
        <v>242067.46000000002</v>
      </c>
      <c r="M20" s="28">
        <f>VLOOKUP($A20,'CAPEX - Manut._Desemborracham.'!$A$3:$E$54,5,FALSE)</f>
        <v>60943.086045549135</v>
      </c>
      <c r="N20" s="28">
        <v>0</v>
      </c>
      <c r="O20" s="28">
        <f>VLOOKUP($A20,'CAPEX - Manutenção_PPD'!$A$3:$E$22,5,FALSE)+VLOOKUP($A20,'CAPEX - Manutenção_PTR_Taxiway'!$A$3:$E$22,5,FALSE)+VLOOKUP($A20,'CAPEX - Manutenção_Pátio'!$A$3:$E$22,5,FALSE)+VLOOKUP($A20,'CAPEX - Manut._Desemborracham.'!$A$3:$F$54,6,FALSE)</f>
        <v>303010.54604554916</v>
      </c>
      <c r="P20" s="28">
        <v>0</v>
      </c>
      <c r="Q20" s="28">
        <f>VLOOKUP($A20,'CAPEX - Manutenção_PPD'!$A$3:$F$22,6,FALSE)+VLOOKUP($A20,'CAPEX - Manutenção_PTR_Taxiway'!$A$3:$F$22,6,FALSE)+VLOOKUP($A20,'CAPEX - Manutenção_Pátio'!$A$3:$F$22,6,FALSE)+VLOOKUP($A20,'CAPEX - Manut._Desemborracham.'!$A$3:$G$54,7,FALSE)</f>
        <v>8356494.2360455487</v>
      </c>
      <c r="R20" s="28">
        <v>0</v>
      </c>
      <c r="S20" s="28">
        <f>VLOOKUP($A20,'CAPEX - Manut._Desemborracham.'!$A$3:$H$54,8,FALSE)</f>
        <v>60943.086045549135</v>
      </c>
      <c r="T20" s="28">
        <v>0</v>
      </c>
      <c r="U20" s="28">
        <f>VLOOKUP($A20,'CAPEX - Manut._Desemborracham.'!$A$3:$I$54,9,FALSE)</f>
        <v>60943.086045549135</v>
      </c>
      <c r="V20" s="28">
        <f>VLOOKUP($A20,'CAPEX - Manutenção_PPD'!$A$3:$G$22,7,FALSE)+VLOOKUP($A20,'CAPEX - Manutenção_PTR_Taxiway'!$A$3:$G$22,7,FALSE)+VLOOKUP($A20,'CAPEX - Manutenção_Pátio'!$A$3:$G$22,7,FALSE)</f>
        <v>8087636.6100000003</v>
      </c>
      <c r="W20" s="28">
        <f>VLOOKUP($A20,'CAPEX - Manut._Desemborracham.'!$A$3:$J$54,10,FALSE)</f>
        <v>60943.086045549135</v>
      </c>
      <c r="X20" s="28">
        <v>0</v>
      </c>
      <c r="Y20" s="28">
        <f>VLOOKUP($A20,'CAPEX - Manutenção_PPD'!$A$3:$H$22,8,FALSE)+VLOOKUP($A20,'CAPEX - Manutenção_PTR_Taxiway'!$A$3:$H$22,8,FALSE)+VLOOKUP($A20,'CAPEX - Manutenção_Pátio'!$A$3:$H$22,8,FALSE)+VLOOKUP($A20,'CAPEX - Manut._Desemborracham.'!$A$3:$K$54,11,FALSE)</f>
        <v>303010.54604554916</v>
      </c>
      <c r="Z20" s="28">
        <v>0</v>
      </c>
      <c r="AA20" s="28">
        <f>VLOOKUP($A20,'CAPEX - Manutenção_PPD'!$A$3:$I$22,9,FALSE)+VLOOKUP($A20,'CAPEX - Manutenção_PTR_Taxiway'!$A$3:$I$22,9,FALSE)+VLOOKUP($A20,'CAPEX - Manutenção_Pátio'!$A$3:$I$22,9,FALSE)+VLOOKUP($A20,'CAPEX - Manut._Desemborracham.'!$A$3:$L$54,12,FALSE)</f>
        <v>8356494.2360455487</v>
      </c>
      <c r="AB20" s="28">
        <v>0</v>
      </c>
      <c r="AC20" s="28">
        <f>VLOOKUP($A20,'CAPEX - Manut._Desemborracham.'!$A$3:$M$54,13,FALSE)</f>
        <v>60943.086045549135</v>
      </c>
      <c r="AD20" s="28">
        <v>0</v>
      </c>
      <c r="AE20" s="28">
        <f>VLOOKUP($A20,'CAPEX - Manut._Desemborracham.'!$A$3:$N$54,14,FALSE)</f>
        <v>60943.086045549135</v>
      </c>
      <c r="AF20" s="28">
        <f>VLOOKUP($A20,'CAPEX - Manutenção_PPD'!$A$3:$J$22,10,FALSE)+VLOOKUP($A20,'CAPEX - Manutenção_PTR_Taxiway'!$A$3:$J$22,10,FALSE)+VLOOKUP($A20,'CAPEX - Manutenção_Pátio'!$A$3:$J$22,10,FALSE)</f>
        <v>242067.46000000002</v>
      </c>
      <c r="AG20" s="28">
        <f>VLOOKUP($A20,'CAPEX - Manut._Desemborracham.'!$A$3:$O$54,15,FALSE)</f>
        <v>60943.086045549135</v>
      </c>
      <c r="AH20" s="28">
        <v>0</v>
      </c>
      <c r="AI20" s="28">
        <f>VLOOKUP($A20,'CAPEX - Manutenção_PPD'!$A$3:$K$22,11,FALSE)+VLOOKUP($A20,'CAPEX - Manutenção_PTR_Taxiway'!$A$3:$K$22,11,FALSE)+VLOOKUP($A20,'CAPEX - Manutenção_Pátio'!$A$3:$K$22,11,FALSE)+VLOOKUP($A20,'CAPEX - Manut._Desemborracham.'!$A$3:$P$54,16,FALSE)</f>
        <v>303010.54604554916</v>
      </c>
      <c r="AJ20" s="28">
        <v>0</v>
      </c>
      <c r="AK20" s="28">
        <f>VLOOKUP($A20,'CAPEX - Manut._Desemborracham.'!$A$3:$Q$54,17,FALSE)</f>
        <v>60943.086045549135</v>
      </c>
      <c r="AL20" s="28">
        <v>0</v>
      </c>
      <c r="AM20" s="28">
        <f t="shared" ref="AM20:AM21" si="3">SUM(H20:AL20)</f>
        <v>43099222.500683226</v>
      </c>
      <c r="AN20" s="17" t="s">
        <v>151</v>
      </c>
      <c r="AO20" s="29">
        <f>VLOOKUP($A20,'BASE PAN - CAPEX'!$A$3:$H$22,8,FALSE)</f>
        <v>3</v>
      </c>
      <c r="AP20" s="29">
        <v>1</v>
      </c>
      <c r="AQ20" s="29" t="s">
        <v>97</v>
      </c>
      <c r="AR20" s="29" t="s">
        <v>97</v>
      </c>
      <c r="AS20" s="29">
        <v>2030</v>
      </c>
      <c r="AT20" s="29" t="s">
        <v>97</v>
      </c>
      <c r="AU20" s="29" t="s">
        <v>97</v>
      </c>
      <c r="AV20" s="29">
        <v>2</v>
      </c>
    </row>
    <row r="21" spans="1:48" s="17" customFormat="1" x14ac:dyDescent="0.25">
      <c r="A21" s="17" t="s">
        <v>321</v>
      </c>
      <c r="B21" s="30" t="str">
        <f>VLOOKUP(A21,'CAPEX - Navegação Aérea'!$A$3:$B$22,2,FALSE)</f>
        <v>AEROPORTO REGIONAL DE CANOA QUEBRADA DRAGÃO DO MAR</v>
      </c>
      <c r="C21" s="17" t="str">
        <f>VLOOKUP(A21,'[10]FLUXO DE CAIXA DESC.-BLOCOS PAN'!$A$3:$D$251,4,FALSE)</f>
        <v>SBJE230425</v>
      </c>
      <c r="D21" s="17" t="s">
        <v>322</v>
      </c>
      <c r="E21" s="17" t="s">
        <v>323</v>
      </c>
      <c r="F21" s="17" t="s">
        <v>28</v>
      </c>
      <c r="G21" s="17" t="s">
        <v>29</v>
      </c>
      <c r="H21" s="28">
        <f>(VLOOKUP($A21,'BASE PAN - CAPEX'!$A$3:$I$22,9,FALSE)*$C$24)+VLOOKUP($A21,'CAPEX - Manutenção_PPD'!$A$3:$C$22,3,FALSE)+VLOOKUP($A21,'CAPEX - Manutenção_PTR_Taxiway'!$A$3:$C$22,3,FALSE)+VLOOKUP($A21,'CAPEX - Manutenção_Pátio'!$A$3:$C$22,3,FALSE)+VLOOKUP($A21,'CAPEX - Navegação Aérea'!$A$3:$H$22,8,FALSE)</f>
        <v>53472879.440000005</v>
      </c>
      <c r="I21" s="28">
        <f>VLOOKUP($A21,'CAPEX - Manut._Desemborracham.'!$A$3:$C$54,3,FALSE)</f>
        <v>71379.218804624281</v>
      </c>
      <c r="J21" s="28">
        <v>0</v>
      </c>
      <c r="K21" s="28">
        <f>VLOOKUP($A21,'CAPEX - Manut._Desemborracham.'!$A$3:$D$54,4,FALSE)</f>
        <v>71379.218804624281</v>
      </c>
      <c r="L21" s="28">
        <f>VLOOKUP($A21,'CAPEX - Manutenção_PPD'!$A$3:$D$22,4,FALSE)+VLOOKUP($A21,'CAPEX - Manutenção_PTR_Taxiway'!$A$3:$D$22,4,FALSE)+VLOOKUP($A21,'CAPEX - Manutenção_Pátio'!$A$3:$D$22,4,FALSE)</f>
        <v>336471.86</v>
      </c>
      <c r="M21" s="28">
        <f>VLOOKUP($A21,'CAPEX - Manut._Desemborracham.'!$A$3:$E$54,5,FALSE)</f>
        <v>71379.218804624281</v>
      </c>
      <c r="N21" s="28">
        <v>0</v>
      </c>
      <c r="O21" s="28">
        <f>VLOOKUP($A21,'CAPEX - Manutenção_PPD'!$A$3:$E$22,5,FALSE)+VLOOKUP($A21,'CAPEX - Manutenção_PTR_Taxiway'!$A$3:$E$22,5,FALSE)+VLOOKUP($A21,'CAPEX - Manutenção_Pátio'!$A$3:$E$22,5,FALSE)+VLOOKUP($A21,'CAPEX - Manut._Desemborracham.'!$A$3:$F$54,6,FALSE)</f>
        <v>407851.07880462427</v>
      </c>
      <c r="P21" s="28">
        <v>0</v>
      </c>
      <c r="Q21" s="28">
        <f>VLOOKUP($A21,'CAPEX - Manutenção_PPD'!$A$3:$F$22,6,FALSE)+VLOOKUP($A21,'CAPEX - Manutenção_PTR_Taxiway'!$A$3:$F$22,6,FALSE)+VLOOKUP($A21,'CAPEX - Manutenção_Pátio'!$A$3:$F$22,6,FALSE)+VLOOKUP($A21,'CAPEX - Manut._Desemborracham.'!$A$3:$G$54,7,FALSE)</f>
        <v>13647990.838804623</v>
      </c>
      <c r="R21" s="28">
        <v>0</v>
      </c>
      <c r="S21" s="28">
        <f>VLOOKUP($A21,'CAPEX - Manut._Desemborracham.'!$A$3:$H$54,8,FALSE)</f>
        <v>71379.218804624281</v>
      </c>
      <c r="T21" s="28">
        <v>0</v>
      </c>
      <c r="U21" s="28">
        <f>VLOOKUP($A21,'CAPEX - Manut._Desemborracham.'!$A$3:$I$54,9,FALSE)</f>
        <v>71379.218804624281</v>
      </c>
      <c r="V21" s="28">
        <f>VLOOKUP($A21,'CAPEX - Manutenção_PPD'!$A$3:$G$22,7,FALSE)+VLOOKUP($A21,'CAPEX - Manutenção_PTR_Taxiway'!$A$3:$G$22,7,FALSE)+VLOOKUP($A21,'CAPEX - Manutenção_Pátio'!$A$3:$G$22,7,FALSE)</f>
        <v>17721588.16</v>
      </c>
      <c r="W21" s="28">
        <f>VLOOKUP($A21,'CAPEX - Manut._Desemborracham.'!$A$3:$J$54,10,FALSE)</f>
        <v>71379.218804624281</v>
      </c>
      <c r="X21" s="28">
        <v>0</v>
      </c>
      <c r="Y21" s="28">
        <f>VLOOKUP($A21,'CAPEX - Manutenção_PPD'!$A$3:$H$22,8,FALSE)+VLOOKUP($A21,'CAPEX - Manutenção_PTR_Taxiway'!$A$3:$H$22,8,FALSE)+VLOOKUP($A21,'CAPEX - Manutenção_Pátio'!$A$3:$H$22,8,FALSE)+VLOOKUP($A21,'CAPEX - Manut._Desemborracham.'!$A$3:$K$54,11,FALSE)</f>
        <v>407851.07880462427</v>
      </c>
      <c r="Z21" s="28">
        <v>0</v>
      </c>
      <c r="AA21" s="28">
        <f>VLOOKUP($A21,'CAPEX - Manutenção_PPD'!$A$3:$I$22,9,FALSE)+VLOOKUP($A21,'CAPEX - Manutenção_PTR_Taxiway'!$A$3:$I$22,9,FALSE)+VLOOKUP($A21,'CAPEX - Manutenção_Pátio'!$A$3:$I$22,9,FALSE)+VLOOKUP($A21,'CAPEX - Manut._Desemborracham.'!$A$3:$L$54,12,FALSE)</f>
        <v>13647990.838804623</v>
      </c>
      <c r="AB21" s="28">
        <v>0</v>
      </c>
      <c r="AC21" s="28">
        <f>VLOOKUP($A21,'CAPEX - Manut._Desemborracham.'!$A$3:$M$54,13,FALSE)</f>
        <v>71379.218804624281</v>
      </c>
      <c r="AD21" s="28">
        <v>0</v>
      </c>
      <c r="AE21" s="28">
        <f>VLOOKUP($A21,'CAPEX - Manut._Desemborracham.'!$A$3:$N$54,14,FALSE)</f>
        <v>71379.218804624281</v>
      </c>
      <c r="AF21" s="28">
        <f>VLOOKUP($A21,'CAPEX - Manutenção_PPD'!$A$3:$J$22,10,FALSE)+VLOOKUP($A21,'CAPEX - Manutenção_PTR_Taxiway'!$A$3:$J$22,10,FALSE)+VLOOKUP($A21,'CAPEX - Manutenção_Pátio'!$A$3:$J$22,10,FALSE)</f>
        <v>336471.86</v>
      </c>
      <c r="AG21" s="28">
        <f>VLOOKUP($A21,'CAPEX - Manut._Desemborracham.'!$A$3:$O$54,15,FALSE)</f>
        <v>71379.218804624281</v>
      </c>
      <c r="AH21" s="28">
        <v>0</v>
      </c>
      <c r="AI21" s="28">
        <f>VLOOKUP($A21,'CAPEX - Manutenção_PPD'!$A$3:$K$22,11,FALSE)+VLOOKUP($A21,'CAPEX - Manutenção_PTR_Taxiway'!$A$3:$K$22,11,FALSE)+VLOOKUP($A21,'CAPEX - Manutenção_Pátio'!$A$3:$K$22,11,FALSE)+VLOOKUP($A21,'CAPEX - Manut._Desemborracham.'!$A$3:$P$54,16,FALSE)</f>
        <v>407851.07880462427</v>
      </c>
      <c r="AJ21" s="28">
        <v>0</v>
      </c>
      <c r="AK21" s="28">
        <f>VLOOKUP($A21,'CAPEX - Manut._Desemborracham.'!$A$3:$Q$54,17,FALSE)</f>
        <v>71379.218804624281</v>
      </c>
      <c r="AL21" s="28">
        <v>0</v>
      </c>
      <c r="AM21" s="28">
        <f t="shared" si="3"/>
        <v>101100738.4220694</v>
      </c>
      <c r="AN21" s="17" t="s">
        <v>151</v>
      </c>
      <c r="AO21" s="29">
        <f>VLOOKUP($A21,'BASE PAN - CAPEX'!$A$3:$H$22,8,FALSE)</f>
        <v>4</v>
      </c>
      <c r="AP21" s="29">
        <v>4</v>
      </c>
      <c r="AQ21" s="29" t="s">
        <v>97</v>
      </c>
      <c r="AR21" s="29" t="s">
        <v>97</v>
      </c>
      <c r="AS21" s="29" t="s">
        <v>97</v>
      </c>
      <c r="AT21" s="29" t="s">
        <v>97</v>
      </c>
      <c r="AU21" s="29" t="s">
        <v>97</v>
      </c>
      <c r="AV21" s="29" t="s">
        <v>97</v>
      </c>
    </row>
    <row r="22" spans="1:48" x14ac:dyDescent="0.25">
      <c r="H22" s="27">
        <f t="shared" ref="H22:AM22" si="4">SUBTOTAL(109,H3:H21)</f>
        <v>829460225.27999997</v>
      </c>
      <c r="I22" s="27">
        <f t="shared" si="4"/>
        <v>938503.72231178032</v>
      </c>
      <c r="J22" s="27">
        <f t="shared" si="4"/>
        <v>0</v>
      </c>
      <c r="K22" s="27">
        <f t="shared" si="4"/>
        <v>938503.72231178032</v>
      </c>
      <c r="L22" s="27">
        <f t="shared" si="4"/>
        <v>3629923.4699999997</v>
      </c>
      <c r="M22" s="27">
        <f t="shared" si="4"/>
        <v>938503.72231178032</v>
      </c>
      <c r="N22" s="27">
        <f t="shared" si="4"/>
        <v>0</v>
      </c>
      <c r="O22" s="27">
        <f t="shared" si="4"/>
        <v>4568427.1923117805</v>
      </c>
      <c r="P22" s="27">
        <f t="shared" si="4"/>
        <v>0</v>
      </c>
      <c r="Q22" s="27">
        <f t="shared" si="4"/>
        <v>156390390.45231175</v>
      </c>
      <c r="R22" s="27">
        <f t="shared" si="4"/>
        <v>0</v>
      </c>
      <c r="S22" s="27">
        <f t="shared" si="4"/>
        <v>938503.72231178032</v>
      </c>
      <c r="T22" s="27">
        <f t="shared" si="4"/>
        <v>0</v>
      </c>
      <c r="U22" s="27">
        <f t="shared" si="4"/>
        <v>938503.72231178032</v>
      </c>
      <c r="V22" s="27">
        <f t="shared" si="4"/>
        <v>118823404.04000001</v>
      </c>
      <c r="W22" s="27">
        <f t="shared" si="4"/>
        <v>938503.72231178032</v>
      </c>
      <c r="X22" s="27">
        <f t="shared" si="4"/>
        <v>0</v>
      </c>
      <c r="Y22" s="27">
        <f t="shared" si="4"/>
        <v>4568427.1923117805</v>
      </c>
      <c r="Z22" s="27">
        <f t="shared" si="4"/>
        <v>0</v>
      </c>
      <c r="AA22" s="27">
        <f t="shared" si="4"/>
        <v>156390390.45231175</v>
      </c>
      <c r="AB22" s="27">
        <f t="shared" si="4"/>
        <v>0</v>
      </c>
      <c r="AC22" s="27">
        <f t="shared" si="4"/>
        <v>938503.72231178032</v>
      </c>
      <c r="AD22" s="27">
        <f t="shared" si="4"/>
        <v>0</v>
      </c>
      <c r="AE22" s="27">
        <f t="shared" si="4"/>
        <v>938503.72231178032</v>
      </c>
      <c r="AF22" s="27">
        <f t="shared" si="4"/>
        <v>3629923.4699999997</v>
      </c>
      <c r="AG22" s="27">
        <f t="shared" si="4"/>
        <v>938503.72231178032</v>
      </c>
      <c r="AH22" s="27">
        <f t="shared" si="4"/>
        <v>0</v>
      </c>
      <c r="AI22" s="27">
        <f t="shared" si="4"/>
        <v>4568427.1923117805</v>
      </c>
      <c r="AJ22" s="27">
        <f t="shared" si="4"/>
        <v>0</v>
      </c>
      <c r="AK22" s="27">
        <f t="shared" si="4"/>
        <v>938503.72231178032</v>
      </c>
      <c r="AL22" s="27">
        <f t="shared" si="4"/>
        <v>0</v>
      </c>
      <c r="AM22" s="27">
        <f t="shared" si="4"/>
        <v>1291414575.9646766</v>
      </c>
    </row>
    <row r="23" spans="1:48" x14ac:dyDescent="0.25">
      <c r="H23" s="27">
        <f>H22</f>
        <v>829460225.27999997</v>
      </c>
      <c r="I23" s="27">
        <f>H23+I22</f>
        <v>830398729.00231171</v>
      </c>
      <c r="J23" s="27">
        <f t="shared" ref="J23:AL23" si="5">I23+J22</f>
        <v>830398729.00231171</v>
      </c>
      <c r="K23" s="27">
        <f t="shared" si="5"/>
        <v>831337232.72462344</v>
      </c>
      <c r="L23" s="27">
        <f t="shared" si="5"/>
        <v>834967156.19462347</v>
      </c>
      <c r="M23" s="27">
        <f t="shared" si="5"/>
        <v>835905659.91693521</v>
      </c>
      <c r="N23" s="27">
        <f t="shared" si="5"/>
        <v>835905659.91693521</v>
      </c>
      <c r="O23" s="27">
        <f t="shared" si="5"/>
        <v>840474087.10924697</v>
      </c>
      <c r="P23" s="27">
        <f t="shared" si="5"/>
        <v>840474087.10924697</v>
      </c>
      <c r="Q23" s="27">
        <f t="shared" si="5"/>
        <v>996864477.56155872</v>
      </c>
      <c r="R23" s="27">
        <f t="shared" si="5"/>
        <v>996864477.56155872</v>
      </c>
      <c r="S23" s="27">
        <f t="shared" si="5"/>
        <v>997802981.28387046</v>
      </c>
      <c r="T23" s="27">
        <f t="shared" si="5"/>
        <v>997802981.28387046</v>
      </c>
      <c r="U23" s="27">
        <f t="shared" si="5"/>
        <v>998741485.00618219</v>
      </c>
      <c r="V23" s="27">
        <f t="shared" si="5"/>
        <v>1117564889.0461822</v>
      </c>
      <c r="W23" s="27">
        <f t="shared" si="5"/>
        <v>1118503392.7684939</v>
      </c>
      <c r="X23" s="27">
        <f t="shared" si="5"/>
        <v>1118503392.7684939</v>
      </c>
      <c r="Y23" s="27">
        <f t="shared" si="5"/>
        <v>1123071819.9608057</v>
      </c>
      <c r="Z23" s="27">
        <f t="shared" si="5"/>
        <v>1123071819.9608057</v>
      </c>
      <c r="AA23" s="27">
        <f t="shared" si="5"/>
        <v>1279462210.4131174</v>
      </c>
      <c r="AB23" s="27">
        <f t="shared" si="5"/>
        <v>1279462210.4131174</v>
      </c>
      <c r="AC23" s="27">
        <f t="shared" si="5"/>
        <v>1280400714.1354291</v>
      </c>
      <c r="AD23" s="27">
        <f t="shared" si="5"/>
        <v>1280400714.1354291</v>
      </c>
      <c r="AE23" s="27">
        <f t="shared" si="5"/>
        <v>1281339217.8577409</v>
      </c>
      <c r="AF23" s="27">
        <f t="shared" si="5"/>
        <v>1284969141.3277409</v>
      </c>
      <c r="AG23" s="27">
        <f t="shared" si="5"/>
        <v>1285907645.0500526</v>
      </c>
      <c r="AH23" s="27">
        <f t="shared" si="5"/>
        <v>1285907645.0500526</v>
      </c>
      <c r="AI23" s="27">
        <f t="shared" si="5"/>
        <v>1290476072.2423644</v>
      </c>
      <c r="AJ23" s="27">
        <f t="shared" si="5"/>
        <v>1290476072.2423644</v>
      </c>
      <c r="AK23" s="27">
        <f t="shared" si="5"/>
        <v>1291414575.9646761</v>
      </c>
      <c r="AL23" s="27">
        <f t="shared" si="5"/>
        <v>1291414575.9646761</v>
      </c>
    </row>
    <row r="24" spans="1:48" x14ac:dyDescent="0.25">
      <c r="B24" s="2" t="s">
        <v>153</v>
      </c>
      <c r="C24" s="2">
        <v>1.6</v>
      </c>
    </row>
    <row r="25" spans="1:48" x14ac:dyDescent="0.25">
      <c r="B25" s="2" t="s">
        <v>315</v>
      </c>
      <c r="C25" s="2">
        <v>1.8</v>
      </c>
    </row>
    <row r="28" spans="1:48" x14ac:dyDescent="0.25">
      <c r="A28" s="23" t="s">
        <v>146</v>
      </c>
    </row>
  </sheetData>
  <autoFilter ref="A2:AV25" xr:uid="{24AA6034-B2F3-4DF4-8B49-A70A2BCB5D68}"/>
  <conditionalFormatting sqref="C3:C16">
    <cfRule type="duplicateValues" dxfId="5" priority="401"/>
  </conditionalFormatting>
  <hyperlinks>
    <hyperlink ref="A28" location="Introdução!A1" display="Introdução!A1" xr:uid="{1BBF4EA7-8AF3-4196-AFD7-683E89B0D37D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7659D-9DB7-4AAC-88C5-1150CD672878}">
  <sheetPr codeName="Planilha14">
    <tabColor rgb="FF00B0F0"/>
  </sheetPr>
  <dimension ref="A1:AU28"/>
  <sheetViews>
    <sheetView workbookViewId="0">
      <selection activeCell="A3" sqref="A3:A21"/>
    </sheetView>
  </sheetViews>
  <sheetFormatPr defaultRowHeight="15" x14ac:dyDescent="0.25"/>
  <cols>
    <col min="1" max="1" width="7" bestFit="1" customWidth="1"/>
    <col min="2" max="2" width="19" customWidth="1"/>
    <col min="3" max="3" width="13.140625" bestFit="1" customWidth="1"/>
    <col min="4" max="4" width="16.42578125" customWidth="1"/>
    <col min="5" max="5" width="3.85546875" bestFit="1" customWidth="1"/>
    <col min="6" max="7" width="11.85546875" customWidth="1"/>
    <col min="8" max="8" width="19.42578125" bestFit="1" customWidth="1"/>
    <col min="9" max="38" width="19.7109375" bestFit="1" customWidth="1"/>
    <col min="39" max="39" width="19.42578125" bestFit="1" customWidth="1"/>
    <col min="40" max="40" width="18" bestFit="1" customWidth="1"/>
    <col min="41" max="41" width="10.7109375" bestFit="1" customWidth="1"/>
    <col min="42" max="42" width="11.42578125" customWidth="1"/>
    <col min="43" max="43" width="11.140625" customWidth="1"/>
    <col min="44" max="44" width="11.140625" bestFit="1" customWidth="1"/>
    <col min="45" max="45" width="11.28515625" customWidth="1"/>
    <col min="46" max="47" width="11.140625" bestFit="1" customWidth="1"/>
  </cols>
  <sheetData>
    <row r="1" spans="1:4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 t="s">
        <v>120</v>
      </c>
      <c r="I1" s="2" t="s">
        <v>120</v>
      </c>
      <c r="J1" s="2" t="s">
        <v>120</v>
      </c>
      <c r="K1" s="2" t="s">
        <v>120</v>
      </c>
      <c r="L1" s="2" t="s">
        <v>120</v>
      </c>
      <c r="M1" s="2" t="s">
        <v>120</v>
      </c>
      <c r="N1" s="2" t="s">
        <v>120</v>
      </c>
      <c r="O1" s="2" t="s">
        <v>120</v>
      </c>
      <c r="P1" s="2" t="s">
        <v>120</v>
      </c>
      <c r="Q1" s="2" t="s">
        <v>120</v>
      </c>
      <c r="R1" s="2" t="s">
        <v>120</v>
      </c>
      <c r="S1" s="2" t="s">
        <v>120</v>
      </c>
      <c r="T1" s="2" t="s">
        <v>120</v>
      </c>
      <c r="U1" s="2" t="s">
        <v>120</v>
      </c>
      <c r="V1" s="2" t="s">
        <v>120</v>
      </c>
      <c r="W1" s="2" t="s">
        <v>120</v>
      </c>
      <c r="X1" s="2" t="s">
        <v>120</v>
      </c>
      <c r="Y1" s="2" t="s">
        <v>120</v>
      </c>
      <c r="Z1" s="2" t="s">
        <v>120</v>
      </c>
      <c r="AA1" s="2" t="s">
        <v>120</v>
      </c>
      <c r="AB1" s="2" t="s">
        <v>120</v>
      </c>
      <c r="AC1" s="2" t="s">
        <v>120</v>
      </c>
      <c r="AD1" s="2" t="s">
        <v>120</v>
      </c>
      <c r="AE1" s="2" t="s">
        <v>120</v>
      </c>
      <c r="AF1" s="2" t="s">
        <v>120</v>
      </c>
      <c r="AG1" s="2" t="s">
        <v>120</v>
      </c>
      <c r="AH1" s="2" t="s">
        <v>120</v>
      </c>
      <c r="AI1" s="2" t="s">
        <v>120</v>
      </c>
      <c r="AJ1" s="2" t="s">
        <v>120</v>
      </c>
      <c r="AK1" s="2" t="s">
        <v>120</v>
      </c>
      <c r="AL1" s="2" t="s">
        <v>120</v>
      </c>
      <c r="AM1" s="2" t="s">
        <v>120</v>
      </c>
      <c r="AN1" s="2" t="s">
        <v>295</v>
      </c>
      <c r="AO1" s="2" t="s">
        <v>6</v>
      </c>
      <c r="AP1" s="2" t="s">
        <v>7</v>
      </c>
      <c r="AQ1" s="2"/>
      <c r="AR1" s="2"/>
      <c r="AS1" s="2" t="s">
        <v>8</v>
      </c>
      <c r="AT1" s="2"/>
      <c r="AU1" s="2"/>
    </row>
    <row r="2" spans="1:47" x14ac:dyDescent="0.25">
      <c r="A2" s="2"/>
      <c r="B2" s="2"/>
      <c r="C2" s="2"/>
      <c r="D2" s="2"/>
      <c r="E2" s="2"/>
      <c r="F2" s="2"/>
      <c r="G2" s="2" t="s">
        <v>9</v>
      </c>
      <c r="H2" s="11">
        <v>1</v>
      </c>
      <c r="I2" s="11">
        <v>2</v>
      </c>
      <c r="J2" s="11">
        <v>3</v>
      </c>
      <c r="K2" s="11">
        <v>4</v>
      </c>
      <c r="L2" s="11">
        <v>5</v>
      </c>
      <c r="M2" s="11">
        <v>6</v>
      </c>
      <c r="N2" s="11">
        <v>7</v>
      </c>
      <c r="O2" s="11">
        <v>8</v>
      </c>
      <c r="P2" s="11">
        <v>9</v>
      </c>
      <c r="Q2" s="11">
        <v>10</v>
      </c>
      <c r="R2" s="11">
        <v>11</v>
      </c>
      <c r="S2" s="11">
        <v>12</v>
      </c>
      <c r="T2" s="11">
        <v>13</v>
      </c>
      <c r="U2" s="11">
        <v>14</v>
      </c>
      <c r="V2" s="11">
        <v>15</v>
      </c>
      <c r="W2" s="11">
        <v>16</v>
      </c>
      <c r="X2" s="11">
        <v>17</v>
      </c>
      <c r="Y2" s="11">
        <v>18</v>
      </c>
      <c r="Z2" s="11">
        <v>19</v>
      </c>
      <c r="AA2" s="11">
        <v>20</v>
      </c>
      <c r="AB2" s="11">
        <v>21</v>
      </c>
      <c r="AC2" s="11">
        <v>22</v>
      </c>
      <c r="AD2" s="11">
        <v>23</v>
      </c>
      <c r="AE2" s="11">
        <v>24</v>
      </c>
      <c r="AF2" s="11">
        <v>25</v>
      </c>
      <c r="AG2" s="11">
        <v>26</v>
      </c>
      <c r="AH2" s="11">
        <v>27</v>
      </c>
      <c r="AI2" s="11">
        <v>28</v>
      </c>
      <c r="AJ2" s="11">
        <v>29</v>
      </c>
      <c r="AK2" s="11">
        <v>30</v>
      </c>
      <c r="AL2" s="11">
        <v>31</v>
      </c>
      <c r="AM2" s="2" t="s">
        <v>121</v>
      </c>
      <c r="AN2" s="2" t="s">
        <v>97</v>
      </c>
      <c r="AO2" s="2"/>
      <c r="AP2" s="2" t="s">
        <v>21</v>
      </c>
      <c r="AQ2" s="2" t="s">
        <v>22</v>
      </c>
      <c r="AR2" s="2" t="s">
        <v>23</v>
      </c>
      <c r="AS2" s="2" t="s">
        <v>21</v>
      </c>
      <c r="AT2" s="2" t="s">
        <v>22</v>
      </c>
      <c r="AU2" s="2" t="s">
        <v>23</v>
      </c>
    </row>
    <row r="3" spans="1:47" x14ac:dyDescent="0.25">
      <c r="A3" t="s">
        <v>36</v>
      </c>
      <c r="B3" t="s">
        <v>37</v>
      </c>
      <c r="C3" t="s">
        <v>38</v>
      </c>
      <c r="D3" t="s">
        <v>37</v>
      </c>
      <c r="E3" t="s">
        <v>24</v>
      </c>
      <c r="F3" t="s">
        <v>28</v>
      </c>
      <c r="G3" t="s">
        <v>29</v>
      </c>
      <c r="H3" s="1">
        <f>VLOOKUP($A3,'BASE PAN - CAPEX'!$A$3:$I$22,9,FALSE)+VLOOKUP($A3,'CAPEX - Manutenção_PPD'!$A$3:$C$22,3,FALSE)+VLOOKUP($A3,'CAPEX - Manutenção_PTR_Taxiway'!$A$3:$C$22,3,FALSE)+VLOOKUP($A3,'CAPEX - Manutenção_Pátio'!$A$3:$C$22,3,FALSE)+VLOOKUP($A3,'CAPEX - Navegação Aérea'!$A$3:$H$22,8,FALSE)</f>
        <v>46510000</v>
      </c>
      <c r="I3" s="1">
        <f>VLOOKUP($A3,'CAPEX - Manut._Desemborracham.'!$A$3:$C$54,3,FALSE)</f>
        <v>91496.351861098257</v>
      </c>
      <c r="J3" s="1">
        <v>0</v>
      </c>
      <c r="K3" s="1">
        <f>VLOOKUP($A3,'CAPEX - Manut._Desemborracham.'!$A$3:$D$54,4,FALSE)</f>
        <v>91496.351861098257</v>
      </c>
      <c r="L3" s="1">
        <f>VLOOKUP($A3,'CAPEX - Manutenção_PPD'!$A$3:$D$22,4,FALSE)+VLOOKUP($A3,'CAPEX - Manutenção_PTR_Taxiway'!$A$3:$D$22,4,FALSE)+VLOOKUP($A3,'CAPEX - Manutenção_Pátio'!$A$3:$D$22,4,FALSE)</f>
        <v>206657.08</v>
      </c>
      <c r="M3" s="1">
        <f>VLOOKUP($A3,'CAPEX - Manut._Desemborracham.'!$A$3:$E$54,5,FALSE)</f>
        <v>91496.351861098257</v>
      </c>
      <c r="N3" s="1">
        <v>0</v>
      </c>
      <c r="O3" s="1">
        <f>VLOOKUP($A3,'CAPEX - Manutenção_PPD'!$A$3:$E$22,5,FALSE)+VLOOKUP($A3,'CAPEX - Manutenção_PTR_Taxiway'!$A$3:$E$22,5,FALSE)+VLOOKUP($A3,'CAPEX - Manutenção_Pátio'!$A$3:$E$22,5,FALSE)+VLOOKUP($A3,'CAPEX - Manut._Desemborracham.'!$A$3:$F$54,6,FALSE)</f>
        <v>298153.43186109827</v>
      </c>
      <c r="P3" s="1">
        <v>0</v>
      </c>
      <c r="Q3" s="1">
        <f>VLOOKUP($A3,'CAPEX - Manutenção_PPD'!$A$3:$F$22,6,FALSE)+VLOOKUP($A3,'CAPEX - Manutenção_PTR_Taxiway'!$A$3:$F$22,6,FALSE)+VLOOKUP($A3,'CAPEX - Manutenção_Pátio'!$A$3:$F$22,6,FALSE)+VLOOKUP($A3,'CAPEX - Manut._Desemborracham.'!$A$3:$G$54,7,FALSE)</f>
        <v>7654855.6818610979</v>
      </c>
      <c r="R3" s="1">
        <v>0</v>
      </c>
      <c r="S3" s="1">
        <f>VLOOKUP($A3,'CAPEX - Manut._Desemborracham.'!$A$3:$H$54,8,FALSE)</f>
        <v>91496.351861098257</v>
      </c>
      <c r="T3" s="1">
        <v>0</v>
      </c>
      <c r="U3" s="1">
        <f>VLOOKUP($A3,'CAPEX - Manut._Desemborracham.'!$A$3:$I$54,9,FALSE)</f>
        <v>91496.351861098257</v>
      </c>
      <c r="V3" s="1">
        <f>VLOOKUP($A3,'CAPEX - Manutenção_PPD'!$A$3:$G$22,7,FALSE)+VLOOKUP($A3,'CAPEX - Manutenção_PTR_Taxiway'!$A$3:$G$22,7,FALSE)+VLOOKUP($A3,'CAPEX - Manutenção_Pátio'!$A$3:$G$22,7,FALSE)</f>
        <v>5374279.3700000001</v>
      </c>
      <c r="W3" s="1">
        <f>VLOOKUP($A3,'CAPEX - Manut._Desemborracham.'!$A$3:$J$54,10,FALSE)</f>
        <v>91496.351861098257</v>
      </c>
      <c r="X3" s="1">
        <v>0</v>
      </c>
      <c r="Y3" s="1">
        <f>VLOOKUP($A3,'CAPEX - Manutenção_PPD'!$A$3:$H$22,8,FALSE)+VLOOKUP($A3,'CAPEX - Manutenção_PTR_Taxiway'!$A$3:$H$22,8,FALSE)+VLOOKUP($A3,'CAPEX - Manutenção_Pátio'!$A$3:$H$22,8,FALSE)+VLOOKUP($A3,'CAPEX - Manut._Desemborracham.'!$A$3:$K$54,11,FALSE)</f>
        <v>298153.43186109827</v>
      </c>
      <c r="Z3" s="1">
        <v>0</v>
      </c>
      <c r="AA3" s="1">
        <f>VLOOKUP($A3,'CAPEX - Manutenção_PPD'!$A$3:$I$22,9,FALSE)+VLOOKUP($A3,'CAPEX - Manutenção_PTR_Taxiway'!$A$3:$I$22,9,FALSE)+VLOOKUP($A3,'CAPEX - Manutenção_Pátio'!$A$3:$I$22,9,FALSE)+VLOOKUP($A3,'CAPEX - Manut._Desemborracham.'!$A$3:$L$54,12,FALSE)</f>
        <v>7654855.6818610979</v>
      </c>
      <c r="AB3" s="1">
        <v>0</v>
      </c>
      <c r="AC3" s="1">
        <f>VLOOKUP($A3,'CAPEX - Manut._Desemborracham.'!$A$3:$M$54,13,FALSE)</f>
        <v>91496.351861098257</v>
      </c>
      <c r="AD3" s="1">
        <v>0</v>
      </c>
      <c r="AE3" s="1">
        <f>VLOOKUP($A3,'CAPEX - Manut._Desemborracham.'!$A$3:$N$54,14,FALSE)</f>
        <v>91496.351861098257</v>
      </c>
      <c r="AF3" s="1">
        <f>VLOOKUP($A3,'CAPEX - Manutenção_PPD'!$A$3:$J$22,10,FALSE)+VLOOKUP($A3,'CAPEX - Manutenção_PTR_Taxiway'!$A$3:$J$22,10,FALSE)+VLOOKUP($A3,'CAPEX - Manutenção_Pátio'!$A$3:$J$22,10,FALSE)</f>
        <v>206657.08</v>
      </c>
      <c r="AG3" s="1">
        <f>VLOOKUP($A3,'CAPEX - Manut._Desemborracham.'!$A$3:$O$54,15,FALSE)</f>
        <v>91496.351861098257</v>
      </c>
      <c r="AH3" s="1">
        <v>0</v>
      </c>
      <c r="AI3" s="1">
        <f>VLOOKUP($A3,'CAPEX - Manutenção_PPD'!$A$3:$K$22,11,FALSE)+VLOOKUP($A3,'CAPEX - Manutenção_PTR_Taxiway'!$A$3:$K$22,11,FALSE)+VLOOKUP($A3,'CAPEX - Manutenção_Pátio'!$A$3:$K$22,11,FALSE)+VLOOKUP($A3,'CAPEX - Manut._Desemborracham.'!$A$3:$P$54,16,FALSE)</f>
        <v>298153.43186109827</v>
      </c>
      <c r="AJ3" s="1">
        <v>0</v>
      </c>
      <c r="AK3" s="1">
        <f>VLOOKUP($A3,'CAPEX - Manut._Desemborracham.'!$A$3:$Q$54,17,FALSE)</f>
        <v>91496.351861098257</v>
      </c>
      <c r="AL3" s="1">
        <v>0</v>
      </c>
      <c r="AM3" s="1">
        <f t="shared" ref="AM3:AM17" si="0">SUM(H3:AL3)</f>
        <v>69416728.707916483</v>
      </c>
      <c r="AN3" s="3">
        <f>VLOOKUP($A3,'BASE PAN - CAPEX'!$A$3:$H$22,8,FALSE)</f>
        <v>3</v>
      </c>
      <c r="AO3" s="3">
        <v>1</v>
      </c>
      <c r="AP3" s="3" t="s">
        <v>97</v>
      </c>
      <c r="AQ3" s="3">
        <v>2045</v>
      </c>
      <c r="AR3" s="3">
        <v>2025</v>
      </c>
      <c r="AS3" s="3" t="s">
        <v>97</v>
      </c>
      <c r="AT3" s="3">
        <v>3</v>
      </c>
      <c r="AU3" s="3">
        <v>2</v>
      </c>
    </row>
    <row r="4" spans="1:47" x14ac:dyDescent="0.25">
      <c r="A4" t="s">
        <v>39</v>
      </c>
      <c r="B4" t="s">
        <v>40</v>
      </c>
      <c r="C4" t="s">
        <v>41</v>
      </c>
      <c r="D4" t="s">
        <v>42</v>
      </c>
      <c r="E4" t="s">
        <v>34</v>
      </c>
      <c r="F4" t="s">
        <v>28</v>
      </c>
      <c r="G4" t="s">
        <v>29</v>
      </c>
      <c r="H4" s="1">
        <f>VLOOKUP($A4,'BASE PAN - CAPEX'!$A$3:$I$22,9,FALSE)+VLOOKUP($A4,'CAPEX - Manutenção_PPD'!$A$3:$C$22,3,FALSE)+VLOOKUP($A4,'CAPEX - Manutenção_PTR_Taxiway'!$A$3:$C$22,3,FALSE)+VLOOKUP($A4,'CAPEX - Manutenção_Pátio'!$A$3:$C$22,3,FALSE)+VLOOKUP($A4,'CAPEX - Navegação Aérea'!$A$3:$H$22,8,FALSE)</f>
        <v>39686733.099999994</v>
      </c>
      <c r="I4" s="1">
        <f>VLOOKUP($A4,'CAPEX - Manut._Desemborracham.'!$A$3:$C$54,3,FALSE)</f>
        <v>69793.585019895952</v>
      </c>
      <c r="J4" s="1">
        <v>0</v>
      </c>
      <c r="K4" s="1">
        <f>VLOOKUP($A4,'CAPEX - Manut._Desemborracham.'!$A$3:$D$54,4,FALSE)</f>
        <v>69793.585019895952</v>
      </c>
      <c r="L4" s="1">
        <f>VLOOKUP($A4,'CAPEX - Manutenção_PPD'!$A$3:$D$22,4,FALSE)+VLOOKUP($A4,'CAPEX - Manutenção_PTR_Taxiway'!$A$3:$D$22,4,FALSE)+VLOOKUP($A4,'CAPEX - Manutenção_Pátio'!$A$3:$D$22,4,FALSE)</f>
        <v>208895.29</v>
      </c>
      <c r="M4" s="1">
        <f>VLOOKUP($A4,'CAPEX - Manut._Desemborracham.'!$A$3:$E$54,5,FALSE)</f>
        <v>69793.585019895952</v>
      </c>
      <c r="N4" s="1">
        <v>0</v>
      </c>
      <c r="O4" s="1">
        <f>VLOOKUP($A4,'CAPEX - Manutenção_PPD'!$A$3:$E$22,5,FALSE)+VLOOKUP($A4,'CAPEX - Manutenção_PTR_Taxiway'!$A$3:$E$22,5,FALSE)+VLOOKUP($A4,'CAPEX - Manutenção_Pátio'!$A$3:$E$22,5,FALSE)+VLOOKUP($A4,'CAPEX - Manut._Desemborracham.'!$A$3:$F$54,6,FALSE)</f>
        <v>278688.87501989596</v>
      </c>
      <c r="P4" s="1">
        <v>0</v>
      </c>
      <c r="Q4" s="1">
        <f>VLOOKUP($A4,'CAPEX - Manutenção_PPD'!$A$3:$F$22,6,FALSE)+VLOOKUP($A4,'CAPEX - Manutenção_PTR_Taxiway'!$A$3:$F$22,6,FALSE)+VLOOKUP($A4,'CAPEX - Manutenção_Pátio'!$A$3:$F$22,6,FALSE)+VLOOKUP($A4,'CAPEX - Manut._Desemborracham.'!$A$3:$G$54,7,FALSE)</f>
        <v>8184477.6350198956</v>
      </c>
      <c r="R4" s="1">
        <v>0</v>
      </c>
      <c r="S4" s="1">
        <f>VLOOKUP($A4,'CAPEX - Manut._Desemborracham.'!$A$3:$H$54,8,FALSE)</f>
        <v>69793.585019895952</v>
      </c>
      <c r="T4" s="1">
        <v>0</v>
      </c>
      <c r="U4" s="1">
        <f>VLOOKUP($A4,'CAPEX - Manut._Desemborracham.'!$A$3:$I$54,9,FALSE)</f>
        <v>69793.585019895952</v>
      </c>
      <c r="V4" s="1">
        <f>VLOOKUP($A4,'CAPEX - Manutenção_PPD'!$A$3:$G$22,7,FALSE)+VLOOKUP($A4,'CAPEX - Manutenção_PTR_Taxiway'!$A$3:$G$22,7,FALSE)+VLOOKUP($A4,'CAPEX - Manutenção_Pátio'!$A$3:$G$22,7,FALSE)</f>
        <v>8131778.9900000002</v>
      </c>
      <c r="W4" s="1">
        <f>VLOOKUP($A4,'CAPEX - Manut._Desemborracham.'!$A$3:$J$54,10,FALSE)</f>
        <v>69793.585019895952</v>
      </c>
      <c r="X4" s="1">
        <v>0</v>
      </c>
      <c r="Y4" s="1">
        <f>VLOOKUP($A4,'CAPEX - Manutenção_PPD'!$A$3:$H$22,8,FALSE)+VLOOKUP($A4,'CAPEX - Manutenção_PTR_Taxiway'!$A$3:$H$22,8,FALSE)+VLOOKUP($A4,'CAPEX - Manutenção_Pátio'!$A$3:$H$22,8,FALSE)+VLOOKUP($A4,'CAPEX - Manut._Desemborracham.'!$A$3:$K$54,11,FALSE)</f>
        <v>278688.87501989596</v>
      </c>
      <c r="Z4" s="1">
        <v>0</v>
      </c>
      <c r="AA4" s="1">
        <f>VLOOKUP($A4,'CAPEX - Manutenção_PPD'!$A$3:$I$22,9,FALSE)+VLOOKUP($A4,'CAPEX - Manutenção_PTR_Taxiway'!$A$3:$I$22,9,FALSE)+VLOOKUP($A4,'CAPEX - Manutenção_Pátio'!$A$3:$I$22,9,FALSE)+VLOOKUP($A4,'CAPEX - Manut._Desemborracham.'!$A$3:$L$54,12,FALSE)</f>
        <v>8184477.6350198956</v>
      </c>
      <c r="AB4" s="1">
        <v>0</v>
      </c>
      <c r="AC4" s="1">
        <f>VLOOKUP($A4,'CAPEX - Manut._Desemborracham.'!$A$3:$M$54,13,FALSE)</f>
        <v>69793.585019895952</v>
      </c>
      <c r="AD4" s="1">
        <v>0</v>
      </c>
      <c r="AE4" s="1">
        <f>VLOOKUP($A4,'CAPEX - Manut._Desemborracham.'!$A$3:$N$54,14,FALSE)</f>
        <v>69793.585019895952</v>
      </c>
      <c r="AF4" s="1">
        <f>VLOOKUP($A4,'CAPEX - Manutenção_PPD'!$A$3:$J$22,10,FALSE)+VLOOKUP($A4,'CAPEX - Manutenção_PTR_Taxiway'!$A$3:$J$22,10,FALSE)+VLOOKUP($A4,'CAPEX - Manutenção_Pátio'!$A$3:$J$22,10,FALSE)</f>
        <v>208895.29</v>
      </c>
      <c r="AG4" s="1">
        <f>VLOOKUP($A4,'CAPEX - Manut._Desemborracham.'!$A$3:$O$54,15,FALSE)</f>
        <v>69793.585019895952</v>
      </c>
      <c r="AH4" s="1">
        <v>0</v>
      </c>
      <c r="AI4" s="1">
        <f>VLOOKUP($A4,'CAPEX - Manutenção_PPD'!$A$3:$K$22,11,FALSE)+VLOOKUP($A4,'CAPEX - Manutenção_PTR_Taxiway'!$A$3:$K$22,11,FALSE)+VLOOKUP($A4,'CAPEX - Manutenção_Pátio'!$A$3:$K$22,11,FALSE)+VLOOKUP($A4,'CAPEX - Manut._Desemborracham.'!$A$3:$P$54,16,FALSE)</f>
        <v>278688.87501989596</v>
      </c>
      <c r="AJ4" s="1">
        <v>0</v>
      </c>
      <c r="AK4" s="1">
        <f>VLOOKUP($A4,'CAPEX - Manut._Desemborracham.'!$A$3:$Q$54,17,FALSE)</f>
        <v>69793.585019895952</v>
      </c>
      <c r="AL4" s="1">
        <v>0</v>
      </c>
      <c r="AM4" s="1">
        <f t="shared" si="0"/>
        <v>66139260.41529841</v>
      </c>
      <c r="AN4" s="3">
        <f>VLOOKUP($A4,'BASE PAN - CAPEX'!$A$3:$H$22,8,FALSE)</f>
        <v>3</v>
      </c>
      <c r="AO4" s="3">
        <v>1</v>
      </c>
      <c r="AP4" s="3" t="s">
        <v>97</v>
      </c>
      <c r="AQ4" s="3">
        <v>2039</v>
      </c>
      <c r="AR4" s="3">
        <v>2025</v>
      </c>
      <c r="AS4" s="3" t="s">
        <v>97</v>
      </c>
      <c r="AT4" s="3">
        <v>3</v>
      </c>
      <c r="AU4" s="3">
        <v>2</v>
      </c>
    </row>
    <row r="5" spans="1:47" x14ac:dyDescent="0.25">
      <c r="A5" t="s">
        <v>43</v>
      </c>
      <c r="B5" t="s">
        <v>44</v>
      </c>
      <c r="C5" t="s">
        <v>45</v>
      </c>
      <c r="D5" t="s">
        <v>44</v>
      </c>
      <c r="E5" t="s">
        <v>30</v>
      </c>
      <c r="F5" t="s">
        <v>28</v>
      </c>
      <c r="G5" t="s">
        <v>29</v>
      </c>
      <c r="H5" s="1">
        <f>VLOOKUP($A5,'BASE PAN - CAPEX'!$A$3:$I$22,9,FALSE)+VLOOKUP($A5,'CAPEX - Manutenção_PPD'!$A$3:$C$22,3,FALSE)+VLOOKUP($A5,'CAPEX - Manutenção_PTR_Taxiway'!$A$3:$C$22,3,FALSE)+VLOOKUP($A5,'CAPEX - Manutenção_Pátio'!$A$3:$C$22,3,FALSE)+VLOOKUP($A5,'CAPEX - Navegação Aérea'!$A$3:$H$22,8,FALSE)</f>
        <v>23530020.620000005</v>
      </c>
      <c r="I5" s="1">
        <f>VLOOKUP($A5,'CAPEX - Manut._Desemborracham.'!$A$3:$C$54,3,FALSE)</f>
        <v>0</v>
      </c>
      <c r="J5" s="1">
        <v>0</v>
      </c>
      <c r="K5" s="1">
        <f>VLOOKUP($A5,'CAPEX - Manut._Desemborracham.'!$A$3:$D$54,4,FALSE)</f>
        <v>0</v>
      </c>
      <c r="L5" s="1">
        <f>VLOOKUP($A5,'CAPEX - Manutenção_PPD'!$A$3:$D$22,4,FALSE)+VLOOKUP($A5,'CAPEX - Manutenção_PTR_Taxiway'!$A$3:$D$22,4,FALSE)+VLOOKUP($A5,'CAPEX - Manutenção_Pátio'!$A$3:$D$22,4,FALSE)</f>
        <v>197174.36000000002</v>
      </c>
      <c r="M5" s="1">
        <f>VLOOKUP($A5,'CAPEX - Manut._Desemborracham.'!$A$3:$E$54,5,FALSE)</f>
        <v>0</v>
      </c>
      <c r="N5" s="1">
        <v>0</v>
      </c>
      <c r="O5" s="1">
        <f>VLOOKUP($A5,'CAPEX - Manutenção_PPD'!$A$3:$E$22,5,FALSE)+VLOOKUP($A5,'CAPEX - Manutenção_PTR_Taxiway'!$A$3:$E$22,5,FALSE)+VLOOKUP($A5,'CAPEX - Manutenção_Pátio'!$A$3:$E$22,5,FALSE)+VLOOKUP($A5,'CAPEX - Manut._Desemborracham.'!$A$3:$F$54,6,FALSE)</f>
        <v>197174.36000000002</v>
      </c>
      <c r="P5" s="1">
        <v>0</v>
      </c>
      <c r="Q5" s="1">
        <f>VLOOKUP($A5,'CAPEX - Manutenção_PPD'!$A$3:$F$22,6,FALSE)+VLOOKUP($A5,'CAPEX - Manutenção_PTR_Taxiway'!$A$3:$F$22,6,FALSE)+VLOOKUP($A5,'CAPEX - Manutenção_Pátio'!$A$3:$F$22,6,FALSE)+VLOOKUP($A5,'CAPEX - Manut._Desemborracham.'!$A$3:$G$54,7,FALSE)</f>
        <v>7571378.1800000006</v>
      </c>
      <c r="R5" s="1">
        <v>0</v>
      </c>
      <c r="S5" s="1">
        <f>VLOOKUP($A5,'CAPEX - Manut._Desemborracham.'!$A$3:$H$54,8,FALSE)</f>
        <v>0</v>
      </c>
      <c r="T5" s="1">
        <v>0</v>
      </c>
      <c r="U5" s="1">
        <f>VLOOKUP($A5,'CAPEX - Manut._Desemborracham.'!$A$3:$I$54,9,FALSE)</f>
        <v>0</v>
      </c>
      <c r="V5" s="1">
        <f>VLOOKUP($A5,'CAPEX - Manutenção_PPD'!$A$3:$G$22,7,FALSE)+VLOOKUP($A5,'CAPEX - Manutenção_PTR_Taxiway'!$A$3:$G$22,7,FALSE)+VLOOKUP($A5,'CAPEX - Manutenção_Pátio'!$A$3:$G$22,7,FALSE)</f>
        <v>5421309.0199999996</v>
      </c>
      <c r="W5" s="1">
        <f>VLOOKUP($A5,'CAPEX - Manut._Desemborracham.'!$A$3:$J$54,10,FALSE)</f>
        <v>0</v>
      </c>
      <c r="X5" s="1">
        <v>0</v>
      </c>
      <c r="Y5" s="1">
        <f>VLOOKUP($A5,'CAPEX - Manutenção_PPD'!$A$3:$H$22,8,FALSE)+VLOOKUP($A5,'CAPEX - Manutenção_PTR_Taxiway'!$A$3:$H$22,8,FALSE)+VLOOKUP($A5,'CAPEX - Manutenção_Pátio'!$A$3:$H$22,8,FALSE)+VLOOKUP($A5,'CAPEX - Manut._Desemborracham.'!$A$3:$K$54,11,FALSE)</f>
        <v>197174.36000000002</v>
      </c>
      <c r="Z5" s="1">
        <v>0</v>
      </c>
      <c r="AA5" s="1">
        <f>VLOOKUP($A5,'CAPEX - Manutenção_PPD'!$A$3:$I$22,9,FALSE)+VLOOKUP($A5,'CAPEX - Manutenção_PTR_Taxiway'!$A$3:$I$22,9,FALSE)+VLOOKUP($A5,'CAPEX - Manutenção_Pátio'!$A$3:$I$22,9,FALSE)+VLOOKUP($A5,'CAPEX - Manut._Desemborracham.'!$A$3:$L$54,12,FALSE)</f>
        <v>7571378.1800000006</v>
      </c>
      <c r="AB5" s="1">
        <v>0</v>
      </c>
      <c r="AC5" s="1">
        <f>VLOOKUP($A5,'CAPEX - Manut._Desemborracham.'!$A$3:$M$54,13,FALSE)</f>
        <v>0</v>
      </c>
      <c r="AD5" s="1">
        <v>0</v>
      </c>
      <c r="AE5" s="1">
        <f>VLOOKUP($A5,'CAPEX - Manut._Desemborracham.'!$A$3:$N$54,14,FALSE)</f>
        <v>0</v>
      </c>
      <c r="AF5" s="1">
        <f>VLOOKUP($A5,'CAPEX - Manutenção_PPD'!$A$3:$J$22,10,FALSE)+VLOOKUP($A5,'CAPEX - Manutenção_PTR_Taxiway'!$A$3:$J$22,10,FALSE)+VLOOKUP($A5,'CAPEX - Manutenção_Pátio'!$A$3:$J$22,10,FALSE)</f>
        <v>197174.36000000002</v>
      </c>
      <c r="AG5" s="1">
        <f>VLOOKUP($A5,'CAPEX - Manut._Desemborracham.'!$A$3:$O$54,15,FALSE)</f>
        <v>0</v>
      </c>
      <c r="AH5" s="1">
        <v>0</v>
      </c>
      <c r="AI5" s="1">
        <f>VLOOKUP($A5,'CAPEX - Manutenção_PPD'!$A$3:$K$22,11,FALSE)+VLOOKUP($A5,'CAPEX - Manutenção_PTR_Taxiway'!$A$3:$K$22,11,FALSE)+VLOOKUP($A5,'CAPEX - Manutenção_Pátio'!$A$3:$K$22,11,FALSE)+VLOOKUP($A5,'CAPEX - Manut._Desemborracham.'!$A$3:$P$54,16,FALSE)</f>
        <v>197174.36000000002</v>
      </c>
      <c r="AJ5" s="1">
        <v>0</v>
      </c>
      <c r="AK5" s="1">
        <f>VLOOKUP($A5,'CAPEX - Manut._Desemborracham.'!$A$3:$Q$54,17,FALSE)</f>
        <v>0</v>
      </c>
      <c r="AL5" s="1">
        <v>0</v>
      </c>
      <c r="AM5" s="1">
        <f t="shared" si="0"/>
        <v>45079957.800000004</v>
      </c>
      <c r="AN5" s="3">
        <f>VLOOKUP($A5,'BASE PAN - CAPEX'!$A$3:$H$22,8,FALSE)</f>
        <v>1</v>
      </c>
      <c r="AO5" s="3">
        <v>0</v>
      </c>
      <c r="AP5" s="3" t="s">
        <v>97</v>
      </c>
      <c r="AQ5" s="3" t="s">
        <v>97</v>
      </c>
      <c r="AR5" s="3">
        <v>2026</v>
      </c>
      <c r="AS5" s="3" t="s">
        <v>97</v>
      </c>
      <c r="AT5" s="3" t="s">
        <v>97</v>
      </c>
      <c r="AU5" s="3">
        <v>1</v>
      </c>
    </row>
    <row r="6" spans="1:47" x14ac:dyDescent="0.25">
      <c r="A6" t="s">
        <v>47</v>
      </c>
      <c r="B6" t="s">
        <v>48</v>
      </c>
      <c r="C6" t="s">
        <v>49</v>
      </c>
      <c r="D6" t="s">
        <v>48</v>
      </c>
      <c r="E6" t="s">
        <v>30</v>
      </c>
      <c r="F6" t="s">
        <v>28</v>
      </c>
      <c r="G6" t="s">
        <v>29</v>
      </c>
      <c r="H6" s="1">
        <f>VLOOKUP($A6,'BASE PAN - CAPEX'!$A$3:$I$22,9,FALSE)+VLOOKUP($A6,'CAPEX - Manutenção_PPD'!$A$3:$C$22,3,FALSE)+VLOOKUP($A6,'CAPEX - Manutenção_PTR_Taxiway'!$A$3:$C$22,3,FALSE)+VLOOKUP($A6,'CAPEX - Manutenção_Pátio'!$A$3:$C$22,3,FALSE)+VLOOKUP($A6,'CAPEX - Navegação Aérea'!$A$3:$H$22,8,FALSE)</f>
        <v>59814443.670000002</v>
      </c>
      <c r="I6" s="1">
        <f>VLOOKUP($A6,'CAPEX - Manut._Desemborracham.'!$A$3:$C$54,3,FALSE)</f>
        <v>99085.216523757219</v>
      </c>
      <c r="J6" s="1">
        <v>0</v>
      </c>
      <c r="K6" s="1">
        <f>VLOOKUP($A6,'CAPEX - Manut._Desemborracham.'!$A$3:$D$54,4,FALSE)</f>
        <v>99085.216523757219</v>
      </c>
      <c r="L6" s="1">
        <f>VLOOKUP($A6,'CAPEX - Manutenção_PPD'!$A$3:$D$22,4,FALSE)+VLOOKUP($A6,'CAPEX - Manutenção_PTR_Taxiway'!$A$3:$D$22,4,FALSE)+VLOOKUP($A6,'CAPEX - Manutenção_Pátio'!$A$3:$D$22,4,FALSE)</f>
        <v>220914.91999999998</v>
      </c>
      <c r="M6" s="1">
        <f>VLOOKUP($A6,'CAPEX - Manut._Desemborracham.'!$A$3:$E$54,5,FALSE)</f>
        <v>99085.216523757219</v>
      </c>
      <c r="N6" s="1">
        <v>0</v>
      </c>
      <c r="O6" s="1">
        <f>VLOOKUP($A6,'CAPEX - Manutenção_PPD'!$A$3:$E$22,5,FALSE)+VLOOKUP($A6,'CAPEX - Manutenção_PTR_Taxiway'!$A$3:$E$22,5,FALSE)+VLOOKUP($A6,'CAPEX - Manutenção_Pátio'!$A$3:$E$22,5,FALSE)+VLOOKUP($A6,'CAPEX - Manut._Desemborracham.'!$A$3:$F$54,6,FALSE)</f>
        <v>320000.13652375719</v>
      </c>
      <c r="P6" s="1">
        <v>0</v>
      </c>
      <c r="Q6" s="1">
        <f>VLOOKUP($A6,'CAPEX - Manutenção_PPD'!$A$3:$F$22,6,FALSE)+VLOOKUP($A6,'CAPEX - Manutenção_PTR_Taxiway'!$A$3:$F$22,6,FALSE)+VLOOKUP($A6,'CAPEX - Manutenção_Pátio'!$A$3:$F$22,6,FALSE)+VLOOKUP($A6,'CAPEX - Manut._Desemborracham.'!$A$3:$G$54,7,FALSE)</f>
        <v>9069495.9465237577</v>
      </c>
      <c r="R6" s="1">
        <v>0</v>
      </c>
      <c r="S6" s="1">
        <f>VLOOKUP($A6,'CAPEX - Manut._Desemborracham.'!$A$3:$H$54,8,FALSE)</f>
        <v>99085.216523757219</v>
      </c>
      <c r="T6" s="1">
        <v>0</v>
      </c>
      <c r="U6" s="1">
        <f>VLOOKUP($A6,'CAPEX - Manut._Desemborracham.'!$A$3:$I$54,9,FALSE)</f>
        <v>99085.216523757219</v>
      </c>
      <c r="V6" s="1">
        <f>VLOOKUP($A6,'CAPEX - Manutenção_PPD'!$A$3:$G$22,7,FALSE)+VLOOKUP($A6,'CAPEX - Manutenção_PTR_Taxiway'!$A$3:$G$22,7,FALSE)+VLOOKUP($A6,'CAPEX - Manutenção_Pátio'!$A$3:$G$22,7,FALSE)</f>
        <v>5407129.9800000004</v>
      </c>
      <c r="W6" s="1">
        <f>VLOOKUP($A6,'CAPEX - Manut._Desemborracham.'!$A$3:$J$54,10,FALSE)</f>
        <v>99085.216523757219</v>
      </c>
      <c r="X6" s="1">
        <v>0</v>
      </c>
      <c r="Y6" s="1">
        <f>VLOOKUP($A6,'CAPEX - Manutenção_PPD'!$A$3:$H$22,8,FALSE)+VLOOKUP($A6,'CAPEX - Manutenção_PTR_Taxiway'!$A$3:$H$22,8,FALSE)+VLOOKUP($A6,'CAPEX - Manutenção_Pátio'!$A$3:$H$22,8,FALSE)+VLOOKUP($A6,'CAPEX - Manut._Desemborracham.'!$A$3:$K$54,11,FALSE)</f>
        <v>320000.13652375719</v>
      </c>
      <c r="Z6" s="1">
        <v>0</v>
      </c>
      <c r="AA6" s="1">
        <f>VLOOKUP($A6,'CAPEX - Manutenção_PPD'!$A$3:$I$22,9,FALSE)+VLOOKUP($A6,'CAPEX - Manutenção_PTR_Taxiway'!$A$3:$I$22,9,FALSE)+VLOOKUP($A6,'CAPEX - Manutenção_Pátio'!$A$3:$I$22,9,FALSE)+VLOOKUP($A6,'CAPEX - Manut._Desemborracham.'!$A$3:$L$54,12,FALSE)</f>
        <v>9069495.9465237577</v>
      </c>
      <c r="AB6" s="1">
        <v>0</v>
      </c>
      <c r="AC6" s="1">
        <f>VLOOKUP($A6,'CAPEX - Manut._Desemborracham.'!$A$3:$M$54,13,FALSE)</f>
        <v>99085.216523757219</v>
      </c>
      <c r="AD6" s="1">
        <v>0</v>
      </c>
      <c r="AE6" s="1">
        <f>VLOOKUP($A6,'CAPEX - Manut._Desemborracham.'!$A$3:$N$54,14,FALSE)</f>
        <v>99085.216523757219</v>
      </c>
      <c r="AF6" s="1">
        <f>VLOOKUP($A6,'CAPEX - Manutenção_PPD'!$A$3:$J$22,10,FALSE)+VLOOKUP($A6,'CAPEX - Manutenção_PTR_Taxiway'!$A$3:$J$22,10,FALSE)+VLOOKUP($A6,'CAPEX - Manutenção_Pátio'!$A$3:$J$22,10,FALSE)</f>
        <v>220914.91999999998</v>
      </c>
      <c r="AG6" s="1">
        <f>VLOOKUP($A6,'CAPEX - Manut._Desemborracham.'!$A$3:$O$54,15,FALSE)</f>
        <v>99085.216523757219</v>
      </c>
      <c r="AH6" s="1">
        <v>0</v>
      </c>
      <c r="AI6" s="1">
        <f>VLOOKUP($A6,'CAPEX - Manutenção_PPD'!$A$3:$K$22,11,FALSE)+VLOOKUP($A6,'CAPEX - Manutenção_PTR_Taxiway'!$A$3:$K$22,11,FALSE)+VLOOKUP($A6,'CAPEX - Manutenção_Pátio'!$A$3:$K$22,11,FALSE)+VLOOKUP($A6,'CAPEX - Manut._Desemborracham.'!$A$3:$P$54,16,FALSE)</f>
        <v>320000.13652375719</v>
      </c>
      <c r="AJ6" s="1">
        <v>0</v>
      </c>
      <c r="AK6" s="1">
        <f>VLOOKUP($A6,'CAPEX - Manut._Desemborracham.'!$A$3:$Q$54,17,FALSE)</f>
        <v>99085.216523757219</v>
      </c>
      <c r="AL6" s="1">
        <v>0</v>
      </c>
      <c r="AM6" s="1">
        <f t="shared" si="0"/>
        <v>85753247.957856327</v>
      </c>
      <c r="AN6" s="3">
        <f>VLOOKUP($A6,'BASE PAN - CAPEX'!$A$3:$H$22,8,FALSE)</f>
        <v>3</v>
      </c>
      <c r="AO6" s="3">
        <v>3</v>
      </c>
      <c r="AP6" s="3" t="s">
        <v>97</v>
      </c>
      <c r="AQ6" s="3" t="s">
        <v>97</v>
      </c>
      <c r="AR6" s="3" t="s">
        <v>97</v>
      </c>
      <c r="AS6" s="3" t="s">
        <v>97</v>
      </c>
      <c r="AT6" s="3" t="s">
        <v>97</v>
      </c>
      <c r="AU6" s="3" t="s">
        <v>97</v>
      </c>
    </row>
    <row r="7" spans="1:47" x14ac:dyDescent="0.25">
      <c r="A7" t="s">
        <v>50</v>
      </c>
      <c r="B7" t="s">
        <v>51</v>
      </c>
      <c r="C7" t="s">
        <v>52</v>
      </c>
      <c r="D7" t="s">
        <v>51</v>
      </c>
      <c r="E7" t="s">
        <v>35</v>
      </c>
      <c r="F7" t="s">
        <v>28</v>
      </c>
      <c r="G7" t="s">
        <v>29</v>
      </c>
      <c r="H7" s="1">
        <f>VLOOKUP($A7,'BASE PAN - CAPEX'!$A$3:$I$22,9,FALSE)+VLOOKUP($A7,'CAPEX - Manutenção_PPD'!$A$3:$C$22,3,FALSE)+VLOOKUP($A7,'CAPEX - Manutenção_PTR_Taxiway'!$A$3:$C$22,3,FALSE)+VLOOKUP($A7,'CAPEX - Manutenção_Pátio'!$A$3:$C$22,3,FALSE)+VLOOKUP($A7,'CAPEX - Navegação Aérea'!$A$3:$H$22,8,FALSE)</f>
        <v>33214443.670000002</v>
      </c>
      <c r="I7" s="1">
        <f>VLOOKUP($A7,'CAPEX - Manut._Desemborracham.'!$A$3:$C$54,3,FALSE)</f>
        <v>0</v>
      </c>
      <c r="J7" s="1">
        <v>0</v>
      </c>
      <c r="K7" s="1">
        <f>VLOOKUP($A7,'CAPEX - Manut._Desemborracham.'!$A$3:$D$54,4,FALSE)</f>
        <v>0</v>
      </c>
      <c r="L7" s="1">
        <f>VLOOKUP($A7,'CAPEX - Manutenção_PPD'!$A$3:$D$22,4,FALSE)+VLOOKUP($A7,'CAPEX - Manutenção_PTR_Taxiway'!$A$3:$D$22,4,FALSE)+VLOOKUP($A7,'CAPEX - Manutenção_Pátio'!$A$3:$D$22,4,FALSE)</f>
        <v>180113.9</v>
      </c>
      <c r="M7" s="1">
        <f>VLOOKUP($A7,'CAPEX - Manut._Desemborracham.'!$A$3:$E$54,5,FALSE)</f>
        <v>0</v>
      </c>
      <c r="N7" s="1">
        <v>0</v>
      </c>
      <c r="O7" s="1">
        <f>VLOOKUP($A7,'CAPEX - Manutenção_PPD'!$A$3:$E$22,5,FALSE)+VLOOKUP($A7,'CAPEX - Manutenção_PTR_Taxiway'!$A$3:$E$22,5,FALSE)+VLOOKUP($A7,'CAPEX - Manutenção_Pátio'!$A$3:$E$22,5,FALSE)+VLOOKUP($A7,'CAPEX - Manut._Desemborracham.'!$A$3:$F$54,6,FALSE)</f>
        <v>180113.9</v>
      </c>
      <c r="P7" s="1">
        <v>0</v>
      </c>
      <c r="Q7" s="1">
        <f>VLOOKUP($A7,'CAPEX - Manutenção_PPD'!$A$3:$F$22,6,FALSE)+VLOOKUP($A7,'CAPEX - Manutenção_PTR_Taxiway'!$A$3:$F$22,6,FALSE)+VLOOKUP($A7,'CAPEX - Manutenção_Pátio'!$A$3:$F$22,6,FALSE)+VLOOKUP($A7,'CAPEX - Manut._Desemborracham.'!$A$3:$G$54,7,FALSE)</f>
        <v>6208416.25</v>
      </c>
      <c r="R7" s="1">
        <v>0</v>
      </c>
      <c r="S7" s="1">
        <f>VLOOKUP($A7,'CAPEX - Manut._Desemborracham.'!$A$3:$H$54,8,FALSE)</f>
        <v>0</v>
      </c>
      <c r="T7" s="1">
        <v>0</v>
      </c>
      <c r="U7" s="1">
        <f>VLOOKUP($A7,'CAPEX - Manut._Desemborracham.'!$A$3:$I$54,9,FALSE)</f>
        <v>0</v>
      </c>
      <c r="V7" s="1">
        <f>VLOOKUP($A7,'CAPEX - Manutenção_PPD'!$A$3:$G$22,7,FALSE)+VLOOKUP($A7,'CAPEX - Manutenção_PTR_Taxiway'!$A$3:$G$22,7,FALSE)+VLOOKUP($A7,'CAPEX - Manutenção_Pátio'!$A$3:$G$22,7,FALSE)</f>
        <v>6887729.2200000007</v>
      </c>
      <c r="W7" s="1">
        <f>VLOOKUP($A7,'CAPEX - Manut._Desemborracham.'!$A$3:$J$54,10,FALSE)</f>
        <v>0</v>
      </c>
      <c r="X7" s="1">
        <v>0</v>
      </c>
      <c r="Y7" s="1">
        <f>VLOOKUP($A7,'CAPEX - Manutenção_PPD'!$A$3:$H$22,8,FALSE)+VLOOKUP($A7,'CAPEX - Manutenção_PTR_Taxiway'!$A$3:$H$22,8,FALSE)+VLOOKUP($A7,'CAPEX - Manutenção_Pátio'!$A$3:$H$22,8,FALSE)+VLOOKUP($A7,'CAPEX - Manut._Desemborracham.'!$A$3:$K$54,11,FALSE)</f>
        <v>180113.9</v>
      </c>
      <c r="Z7" s="1">
        <v>0</v>
      </c>
      <c r="AA7" s="1">
        <f>VLOOKUP($A7,'CAPEX - Manutenção_PPD'!$A$3:$I$22,9,FALSE)+VLOOKUP($A7,'CAPEX - Manutenção_PTR_Taxiway'!$A$3:$I$22,9,FALSE)+VLOOKUP($A7,'CAPEX - Manutenção_Pátio'!$A$3:$I$22,9,FALSE)+VLOOKUP($A7,'CAPEX - Manut._Desemborracham.'!$A$3:$L$54,12,FALSE)</f>
        <v>6208416.25</v>
      </c>
      <c r="AB7" s="1">
        <v>0</v>
      </c>
      <c r="AC7" s="1">
        <f>VLOOKUP($A7,'CAPEX - Manut._Desemborracham.'!$A$3:$M$54,13,FALSE)</f>
        <v>0</v>
      </c>
      <c r="AD7" s="1">
        <v>0</v>
      </c>
      <c r="AE7" s="1">
        <f>VLOOKUP($A7,'CAPEX - Manut._Desemborracham.'!$A$3:$N$54,14,FALSE)</f>
        <v>0</v>
      </c>
      <c r="AF7" s="1">
        <f>VLOOKUP($A7,'CAPEX - Manutenção_PPD'!$A$3:$J$22,10,FALSE)+VLOOKUP($A7,'CAPEX - Manutenção_PTR_Taxiway'!$A$3:$J$22,10,FALSE)+VLOOKUP($A7,'CAPEX - Manutenção_Pátio'!$A$3:$J$22,10,FALSE)</f>
        <v>180113.9</v>
      </c>
      <c r="AG7" s="1">
        <f>VLOOKUP($A7,'CAPEX - Manut._Desemborracham.'!$A$3:$O$54,15,FALSE)</f>
        <v>0</v>
      </c>
      <c r="AH7" s="1">
        <v>0</v>
      </c>
      <c r="AI7" s="1">
        <f>VLOOKUP($A7,'CAPEX - Manutenção_PPD'!$A$3:$K$22,11,FALSE)+VLOOKUP($A7,'CAPEX - Manutenção_PTR_Taxiway'!$A$3:$K$22,11,FALSE)+VLOOKUP($A7,'CAPEX - Manutenção_Pátio'!$A$3:$K$22,11,FALSE)+VLOOKUP($A7,'CAPEX - Manut._Desemborracham.'!$A$3:$P$54,16,FALSE)</f>
        <v>180113.9</v>
      </c>
      <c r="AJ7" s="1">
        <v>0</v>
      </c>
      <c r="AK7" s="1">
        <f>VLOOKUP($A7,'CAPEX - Manut._Desemborracham.'!$A$3:$Q$54,17,FALSE)</f>
        <v>0</v>
      </c>
      <c r="AL7" s="1">
        <v>0</v>
      </c>
      <c r="AM7" s="1">
        <f t="shared" si="0"/>
        <v>53419574.889999993</v>
      </c>
      <c r="AN7" s="3">
        <f>VLOOKUP($A7,'BASE PAN - CAPEX'!$A$3:$H$22,8,FALSE)</f>
        <v>1</v>
      </c>
      <c r="AO7" s="3">
        <v>1</v>
      </c>
      <c r="AP7" s="3" t="s">
        <v>97</v>
      </c>
      <c r="AQ7" s="3" t="s">
        <v>97</v>
      </c>
      <c r="AR7" s="3" t="s">
        <v>97</v>
      </c>
      <c r="AS7" s="3" t="s">
        <v>97</v>
      </c>
      <c r="AT7" s="3" t="s">
        <v>97</v>
      </c>
      <c r="AU7" s="3" t="s">
        <v>97</v>
      </c>
    </row>
    <row r="8" spans="1:47" x14ac:dyDescent="0.25">
      <c r="A8" t="s">
        <v>53</v>
      </c>
      <c r="B8" t="s">
        <v>54</v>
      </c>
      <c r="C8" t="s">
        <v>55</v>
      </c>
      <c r="D8" t="s">
        <v>54</v>
      </c>
      <c r="E8" t="s">
        <v>34</v>
      </c>
      <c r="F8" t="s">
        <v>28</v>
      </c>
      <c r="G8" t="s">
        <v>29</v>
      </c>
      <c r="H8" s="1">
        <f>VLOOKUP($A8,'BASE PAN - CAPEX'!$A$3:$I$22,9,FALSE)+VLOOKUP($A8,'CAPEX - Manutenção_PPD'!$A$3:$C$22,3,FALSE)+VLOOKUP($A8,'CAPEX - Manutenção_PTR_Taxiway'!$A$3:$C$22,3,FALSE)+VLOOKUP($A8,'CAPEX - Manutenção_Pátio'!$A$3:$C$22,3,FALSE)+VLOOKUP($A8,'CAPEX - Navegação Aérea'!$A$3:$H$22,8,FALSE)</f>
        <v>49375000</v>
      </c>
      <c r="I8" s="1">
        <f>VLOOKUP($A8,'CAPEX - Manut._Desemborracham.'!$A$3:$C$54,3,FALSE)</f>
        <v>57756.513688150284</v>
      </c>
      <c r="J8" s="1">
        <v>0</v>
      </c>
      <c r="K8" s="1">
        <f>VLOOKUP($A8,'CAPEX - Manut._Desemborracham.'!$A$3:$D$54,4,FALSE)</f>
        <v>57756.513688150284</v>
      </c>
      <c r="L8" s="1">
        <f>VLOOKUP($A8,'CAPEX - Manutenção_PPD'!$A$3:$D$22,4,FALSE)+VLOOKUP($A8,'CAPEX - Manutenção_PTR_Taxiway'!$A$3:$D$22,4,FALSE)+VLOOKUP($A8,'CAPEX - Manutenção_Pátio'!$A$3:$D$22,4,FALSE)</f>
        <v>194684.31</v>
      </c>
      <c r="M8" s="1">
        <f>VLOOKUP($A8,'CAPEX - Manut._Desemborracham.'!$A$3:$E$54,5,FALSE)</f>
        <v>57756.513688150284</v>
      </c>
      <c r="N8" s="1">
        <v>0</v>
      </c>
      <c r="O8" s="1">
        <f>VLOOKUP($A8,'CAPEX - Manutenção_PPD'!$A$3:$E$22,5,FALSE)+VLOOKUP($A8,'CAPEX - Manutenção_PTR_Taxiway'!$A$3:$E$22,5,FALSE)+VLOOKUP($A8,'CAPEX - Manutenção_Pátio'!$A$3:$E$22,5,FALSE)+VLOOKUP($A8,'CAPEX - Manut._Desemborracham.'!$A$3:$F$54,6,FALSE)</f>
        <v>252440.82368815027</v>
      </c>
      <c r="P8" s="1">
        <v>0</v>
      </c>
      <c r="Q8" s="1">
        <f>VLOOKUP($A8,'CAPEX - Manutenção_PPD'!$A$3:$F$22,6,FALSE)+VLOOKUP($A8,'CAPEX - Manutenção_PTR_Taxiway'!$A$3:$F$22,6,FALSE)+VLOOKUP($A8,'CAPEX - Manutenção_Pátio'!$A$3:$F$22,6,FALSE)+VLOOKUP($A8,'CAPEX - Manut._Desemborracham.'!$A$3:$G$54,7,FALSE)</f>
        <v>9916710.1936881486</v>
      </c>
      <c r="R8" s="1">
        <v>0</v>
      </c>
      <c r="S8" s="1">
        <f>VLOOKUP($A8,'CAPEX - Manut._Desemborracham.'!$A$3:$H$54,8,FALSE)</f>
        <v>57756.513688150284</v>
      </c>
      <c r="T8" s="1">
        <v>0</v>
      </c>
      <c r="U8" s="1">
        <f>VLOOKUP($A8,'CAPEX - Manut._Desemborracham.'!$A$3:$I$54,9,FALSE)</f>
        <v>57756.513688150284</v>
      </c>
      <c r="V8" s="1">
        <f>VLOOKUP($A8,'CAPEX - Manutenção_PPD'!$A$3:$G$22,7,FALSE)+VLOOKUP($A8,'CAPEX - Manutenção_PTR_Taxiway'!$A$3:$G$22,7,FALSE)+VLOOKUP($A8,'CAPEX - Manutenção_Pátio'!$A$3:$G$22,7,FALSE)</f>
        <v>5730962.6100000003</v>
      </c>
      <c r="W8" s="1">
        <f>VLOOKUP($A8,'CAPEX - Manut._Desemborracham.'!$A$3:$J$54,10,FALSE)</f>
        <v>57756.513688150284</v>
      </c>
      <c r="X8" s="1">
        <v>0</v>
      </c>
      <c r="Y8" s="1">
        <f>VLOOKUP($A8,'CAPEX - Manutenção_PPD'!$A$3:$H$22,8,FALSE)+VLOOKUP($A8,'CAPEX - Manutenção_PTR_Taxiway'!$A$3:$H$22,8,FALSE)+VLOOKUP($A8,'CAPEX - Manutenção_Pátio'!$A$3:$H$22,8,FALSE)+VLOOKUP($A8,'CAPEX - Manut._Desemborracham.'!$A$3:$K$54,11,FALSE)</f>
        <v>252440.82368815027</v>
      </c>
      <c r="Z8" s="1">
        <v>0</v>
      </c>
      <c r="AA8" s="1">
        <f>VLOOKUP($A8,'CAPEX - Manutenção_PPD'!$A$3:$I$22,9,FALSE)+VLOOKUP($A8,'CAPEX - Manutenção_PTR_Taxiway'!$A$3:$I$22,9,FALSE)+VLOOKUP($A8,'CAPEX - Manutenção_Pátio'!$A$3:$I$22,9,FALSE)+VLOOKUP($A8,'CAPEX - Manut._Desemborracham.'!$A$3:$L$54,12,FALSE)</f>
        <v>9916710.1936881486</v>
      </c>
      <c r="AB8" s="1">
        <v>0</v>
      </c>
      <c r="AC8" s="1">
        <f>VLOOKUP($A8,'CAPEX - Manut._Desemborracham.'!$A$3:$M$54,13,FALSE)</f>
        <v>57756.513688150284</v>
      </c>
      <c r="AD8" s="1">
        <v>0</v>
      </c>
      <c r="AE8" s="1">
        <f>VLOOKUP($A8,'CAPEX - Manut._Desemborracham.'!$A$3:$N$54,14,FALSE)</f>
        <v>57756.513688150284</v>
      </c>
      <c r="AF8" s="1">
        <f>VLOOKUP($A8,'CAPEX - Manutenção_PPD'!$A$3:$J$22,10,FALSE)+VLOOKUP($A8,'CAPEX - Manutenção_PTR_Taxiway'!$A$3:$J$22,10,FALSE)+VLOOKUP($A8,'CAPEX - Manutenção_Pátio'!$A$3:$J$22,10,FALSE)</f>
        <v>194684.31</v>
      </c>
      <c r="AG8" s="1">
        <f>VLOOKUP($A8,'CAPEX - Manut._Desemborracham.'!$A$3:$O$54,15,FALSE)</f>
        <v>57756.513688150284</v>
      </c>
      <c r="AH8" s="1">
        <v>0</v>
      </c>
      <c r="AI8" s="1">
        <f>VLOOKUP($A8,'CAPEX - Manutenção_PPD'!$A$3:$K$22,11,FALSE)+VLOOKUP($A8,'CAPEX - Manutenção_PTR_Taxiway'!$A$3:$K$22,11,FALSE)+VLOOKUP($A8,'CAPEX - Manutenção_Pátio'!$A$3:$K$22,11,FALSE)+VLOOKUP($A8,'CAPEX - Manut._Desemborracham.'!$A$3:$P$54,16,FALSE)</f>
        <v>252440.82368815027</v>
      </c>
      <c r="AJ8" s="1">
        <v>0</v>
      </c>
      <c r="AK8" s="1">
        <f>VLOOKUP($A8,'CAPEX - Manut._Desemborracham.'!$A$3:$Q$54,17,FALSE)</f>
        <v>57756.513688150284</v>
      </c>
      <c r="AL8" s="1">
        <v>0</v>
      </c>
      <c r="AM8" s="1">
        <f t="shared" si="0"/>
        <v>76663639.225322217</v>
      </c>
      <c r="AN8" s="3">
        <f>VLOOKUP($A8,'BASE PAN - CAPEX'!$A$3:$H$22,8,FALSE)</f>
        <v>3</v>
      </c>
      <c r="AO8" s="3">
        <v>1</v>
      </c>
      <c r="AP8" s="3" t="s">
        <v>97</v>
      </c>
      <c r="AQ8" s="3">
        <v>2048</v>
      </c>
      <c r="AR8" s="3">
        <v>2032</v>
      </c>
      <c r="AS8" s="3" t="s">
        <v>97</v>
      </c>
      <c r="AT8" s="3">
        <v>3</v>
      </c>
      <c r="AU8" s="3">
        <v>2</v>
      </c>
    </row>
    <row r="9" spans="1:47" x14ac:dyDescent="0.25">
      <c r="A9" t="s">
        <v>56</v>
      </c>
      <c r="B9" t="s">
        <v>57</v>
      </c>
      <c r="C9" t="s">
        <v>58</v>
      </c>
      <c r="D9" t="s">
        <v>57</v>
      </c>
      <c r="E9" t="s">
        <v>25</v>
      </c>
      <c r="F9" t="s">
        <v>28</v>
      </c>
      <c r="G9" t="s">
        <v>29</v>
      </c>
      <c r="H9" s="1">
        <f>VLOOKUP($A9,'BASE PAN - CAPEX'!$A$3:$I$22,9,FALSE)+VLOOKUP($A9,'CAPEX - Manutenção_PPD'!$A$3:$C$22,3,FALSE)+VLOOKUP($A9,'CAPEX - Manutenção_PTR_Taxiway'!$A$3:$C$22,3,FALSE)+VLOOKUP($A9,'CAPEX - Manutenção_Pátio'!$A$3:$C$22,3,FALSE)+VLOOKUP($A9,'CAPEX - Navegação Aérea'!$A$3:$H$22,8,FALSE)</f>
        <v>31552316.799999997</v>
      </c>
      <c r="I9" s="1">
        <f>VLOOKUP($A9,'CAPEX - Manut._Desemborracham.'!$A$3:$C$54,3,FALSE)</f>
        <v>85695.837231005775</v>
      </c>
      <c r="J9" s="1">
        <v>0</v>
      </c>
      <c r="K9" s="1">
        <f>VLOOKUP($A9,'CAPEX - Manut._Desemborracham.'!$A$3:$D$54,4,FALSE)</f>
        <v>85695.837231005775</v>
      </c>
      <c r="L9" s="1">
        <f>VLOOKUP($A9,'CAPEX - Manutenção_PPD'!$A$3:$D$22,4,FALSE)+VLOOKUP($A9,'CAPEX - Manutenção_PTR_Taxiway'!$A$3:$D$22,4,FALSE)+VLOOKUP($A9,'CAPEX - Manutenção_Pátio'!$A$3:$D$22,4,FALSE)</f>
        <v>226461.74</v>
      </c>
      <c r="M9" s="1">
        <f>VLOOKUP($A9,'CAPEX - Manut._Desemborracham.'!$A$3:$E$54,5,FALSE)</f>
        <v>85695.837231005775</v>
      </c>
      <c r="N9" s="1">
        <v>0</v>
      </c>
      <c r="O9" s="1">
        <f>VLOOKUP($A9,'CAPEX - Manutenção_PPD'!$A$3:$E$22,5,FALSE)+VLOOKUP($A9,'CAPEX - Manutenção_PTR_Taxiway'!$A$3:$E$22,5,FALSE)+VLOOKUP($A9,'CAPEX - Manutenção_Pátio'!$A$3:$E$22,5,FALSE)+VLOOKUP($A9,'CAPEX - Manut._Desemborracham.'!$A$3:$F$54,6,FALSE)</f>
        <v>312157.57723100577</v>
      </c>
      <c r="P9" s="1">
        <v>0</v>
      </c>
      <c r="Q9" s="1">
        <f>VLOOKUP($A9,'CAPEX - Manutenção_PPD'!$A$3:$F$22,6,FALSE)+VLOOKUP($A9,'CAPEX - Manutenção_PTR_Taxiway'!$A$3:$F$22,6,FALSE)+VLOOKUP($A9,'CAPEX - Manutenção_Pátio'!$A$3:$F$22,6,FALSE)+VLOOKUP($A9,'CAPEX - Manut._Desemborracham.'!$A$3:$G$54,7,FALSE)</f>
        <v>11187788.127231007</v>
      </c>
      <c r="R9" s="1">
        <v>0</v>
      </c>
      <c r="S9" s="1">
        <f>VLOOKUP($A9,'CAPEX - Manut._Desemborracham.'!$A$3:$H$54,8,FALSE)</f>
        <v>85695.837231005775</v>
      </c>
      <c r="T9" s="1">
        <v>0</v>
      </c>
      <c r="U9" s="1">
        <f>VLOOKUP($A9,'CAPEX - Manut._Desemborracham.'!$A$3:$I$54,9,FALSE)</f>
        <v>85695.837231005775</v>
      </c>
      <c r="V9" s="1">
        <f>VLOOKUP($A9,'CAPEX - Manutenção_PPD'!$A$3:$G$22,7,FALSE)+VLOOKUP($A9,'CAPEX - Manutenção_PTR_Taxiway'!$A$3:$G$22,7,FALSE)+VLOOKUP($A9,'CAPEX - Manutenção_Pátio'!$A$3:$G$22,7,FALSE)</f>
        <v>7321758.5600000005</v>
      </c>
      <c r="W9" s="1">
        <f>VLOOKUP($A9,'CAPEX - Manut._Desemborracham.'!$A$3:$J$54,10,FALSE)</f>
        <v>85695.837231005775</v>
      </c>
      <c r="X9" s="1">
        <v>0</v>
      </c>
      <c r="Y9" s="1">
        <f>VLOOKUP($A9,'CAPEX - Manutenção_PPD'!$A$3:$H$22,8,FALSE)+VLOOKUP($A9,'CAPEX - Manutenção_PTR_Taxiway'!$A$3:$H$22,8,FALSE)+VLOOKUP($A9,'CAPEX - Manutenção_Pátio'!$A$3:$H$22,8,FALSE)+VLOOKUP($A9,'CAPEX - Manut._Desemborracham.'!$A$3:$K$54,11,FALSE)</f>
        <v>312157.57723100577</v>
      </c>
      <c r="Z9" s="1">
        <v>0</v>
      </c>
      <c r="AA9" s="1">
        <f>VLOOKUP($A9,'CAPEX - Manutenção_PPD'!$A$3:$I$22,9,FALSE)+VLOOKUP($A9,'CAPEX - Manutenção_PTR_Taxiway'!$A$3:$I$22,9,FALSE)+VLOOKUP($A9,'CAPEX - Manutenção_Pátio'!$A$3:$I$22,9,FALSE)+VLOOKUP($A9,'CAPEX - Manut._Desemborracham.'!$A$3:$L$54,12,FALSE)</f>
        <v>11187788.127231007</v>
      </c>
      <c r="AB9" s="1">
        <v>0</v>
      </c>
      <c r="AC9" s="1">
        <f>VLOOKUP($A9,'CAPEX - Manut._Desemborracham.'!$A$3:$M$54,13,FALSE)</f>
        <v>85695.837231005775</v>
      </c>
      <c r="AD9" s="1">
        <v>0</v>
      </c>
      <c r="AE9" s="1">
        <f>VLOOKUP($A9,'CAPEX - Manut._Desemborracham.'!$A$3:$N$54,14,FALSE)</f>
        <v>85695.837231005775</v>
      </c>
      <c r="AF9" s="1">
        <f>VLOOKUP($A9,'CAPEX - Manutenção_PPD'!$A$3:$J$22,10,FALSE)+VLOOKUP($A9,'CAPEX - Manutenção_PTR_Taxiway'!$A$3:$J$22,10,FALSE)+VLOOKUP($A9,'CAPEX - Manutenção_Pátio'!$A$3:$J$22,10,FALSE)</f>
        <v>226461.74</v>
      </c>
      <c r="AG9" s="1">
        <f>VLOOKUP($A9,'CAPEX - Manut._Desemborracham.'!$A$3:$O$54,15,FALSE)</f>
        <v>85695.837231005775</v>
      </c>
      <c r="AH9" s="1">
        <v>0</v>
      </c>
      <c r="AI9" s="1">
        <f>VLOOKUP($A9,'CAPEX - Manutenção_PPD'!$A$3:$K$22,11,FALSE)+VLOOKUP($A9,'CAPEX - Manutenção_PTR_Taxiway'!$A$3:$K$22,11,FALSE)+VLOOKUP($A9,'CAPEX - Manutenção_Pátio'!$A$3:$K$22,11,FALSE)+VLOOKUP($A9,'CAPEX - Manut._Desemborracham.'!$A$3:$P$54,16,FALSE)</f>
        <v>312157.57723100577</v>
      </c>
      <c r="AJ9" s="1">
        <v>0</v>
      </c>
      <c r="AK9" s="1">
        <f>VLOOKUP($A9,'CAPEX - Manut._Desemborracham.'!$A$3:$Q$54,17,FALSE)</f>
        <v>85695.837231005775</v>
      </c>
      <c r="AL9" s="1">
        <v>0</v>
      </c>
      <c r="AM9" s="1">
        <f t="shared" si="0"/>
        <v>63496006.198465072</v>
      </c>
      <c r="AN9" s="3">
        <f>VLOOKUP($A9,'BASE PAN - CAPEX'!$A$3:$H$22,8,FALSE)</f>
        <v>3</v>
      </c>
      <c r="AO9" s="3">
        <v>2</v>
      </c>
      <c r="AP9" s="3" t="s">
        <v>97</v>
      </c>
      <c r="AQ9" s="3" t="s">
        <v>97</v>
      </c>
      <c r="AR9" s="3">
        <v>2027</v>
      </c>
      <c r="AS9" s="3" t="s">
        <v>97</v>
      </c>
      <c r="AT9" s="3" t="s">
        <v>97</v>
      </c>
      <c r="AU9" s="3">
        <v>3</v>
      </c>
    </row>
    <row r="10" spans="1:47" x14ac:dyDescent="0.25">
      <c r="A10" t="s">
        <v>63</v>
      </c>
      <c r="B10" t="s">
        <v>64</v>
      </c>
      <c r="C10" t="s">
        <v>65</v>
      </c>
      <c r="D10" t="s">
        <v>66</v>
      </c>
      <c r="E10" t="s">
        <v>34</v>
      </c>
      <c r="F10" t="s">
        <v>28</v>
      </c>
      <c r="G10" t="s">
        <v>29</v>
      </c>
      <c r="H10" s="1">
        <f>VLOOKUP($A10,'BASE PAN - CAPEX'!$A$3:$I$22,9,FALSE)+VLOOKUP($A10,'CAPEX - Manutenção_PPD'!$A$3:$C$22,3,FALSE)+VLOOKUP($A10,'CAPEX - Manutenção_PTR_Taxiway'!$A$3:$C$22,3,FALSE)+VLOOKUP($A10,'CAPEX - Manutenção_Pátio'!$A$3:$C$22,3,FALSE)+VLOOKUP($A10,'CAPEX - Navegação Aérea'!$A$3:$H$22,8,FALSE)</f>
        <v>39490000</v>
      </c>
      <c r="I10" s="1">
        <f>VLOOKUP($A10,'CAPEX - Manut._Desemborracham.'!$A$3:$C$54,3,FALSE)</f>
        <v>63351.135604982657</v>
      </c>
      <c r="J10" s="1">
        <v>0</v>
      </c>
      <c r="K10" s="1">
        <f>VLOOKUP($A10,'CAPEX - Manut._Desemborracham.'!$A$3:$D$54,4,FALSE)</f>
        <v>63351.135604982657</v>
      </c>
      <c r="L10" s="1">
        <f>VLOOKUP($A10,'CAPEX - Manutenção_PPD'!$A$3:$D$22,4,FALSE)+VLOOKUP($A10,'CAPEX - Manutenção_PTR_Taxiway'!$A$3:$D$22,4,FALSE)+VLOOKUP($A10,'CAPEX - Manutenção_Pátio'!$A$3:$D$22,4,FALSE)</f>
        <v>197554.34000000003</v>
      </c>
      <c r="M10" s="1">
        <f>VLOOKUP($A10,'CAPEX - Manut._Desemborracham.'!$A$3:$E$54,5,FALSE)</f>
        <v>63351.135604982657</v>
      </c>
      <c r="N10" s="1">
        <v>0</v>
      </c>
      <c r="O10" s="1">
        <f>VLOOKUP($A10,'CAPEX - Manutenção_PPD'!$A$3:$E$22,5,FALSE)+VLOOKUP($A10,'CAPEX - Manutenção_PTR_Taxiway'!$A$3:$E$22,5,FALSE)+VLOOKUP($A10,'CAPEX - Manutenção_Pátio'!$A$3:$E$22,5,FALSE)+VLOOKUP($A10,'CAPEX - Manut._Desemborracham.'!$A$3:$F$54,6,FALSE)</f>
        <v>260905.4756049827</v>
      </c>
      <c r="P10" s="1">
        <v>0</v>
      </c>
      <c r="Q10" s="1">
        <f>VLOOKUP($A10,'CAPEX - Manutenção_PPD'!$A$3:$F$22,6,FALSE)+VLOOKUP($A10,'CAPEX - Manutenção_PTR_Taxiway'!$A$3:$F$22,6,FALSE)+VLOOKUP($A10,'CAPEX - Manutenção_Pátio'!$A$3:$F$22,6,FALSE)+VLOOKUP($A10,'CAPEX - Manut._Desemborracham.'!$A$3:$G$54,7,FALSE)</f>
        <v>6907644.5256049819</v>
      </c>
      <c r="R10" s="1">
        <v>0</v>
      </c>
      <c r="S10" s="1">
        <f>VLOOKUP($A10,'CAPEX - Manut._Desemborracham.'!$A$3:$H$54,8,FALSE)</f>
        <v>63351.135604982657</v>
      </c>
      <c r="T10" s="1">
        <v>0</v>
      </c>
      <c r="U10" s="1">
        <f>VLOOKUP($A10,'CAPEX - Manut._Desemborracham.'!$A$3:$I$54,9,FALSE)</f>
        <v>63351.135604982657</v>
      </c>
      <c r="V10" s="1">
        <f>VLOOKUP($A10,'CAPEX - Manutenção_PPD'!$A$3:$G$22,7,FALSE)+VLOOKUP($A10,'CAPEX - Manutenção_PTR_Taxiway'!$A$3:$G$22,7,FALSE)+VLOOKUP($A10,'CAPEX - Manutenção_Pátio'!$A$3:$G$22,7,FALSE)</f>
        <v>5733832.6399999997</v>
      </c>
      <c r="W10" s="1">
        <f>VLOOKUP($A10,'CAPEX - Manut._Desemborracham.'!$A$3:$J$54,10,FALSE)</f>
        <v>63351.135604982657</v>
      </c>
      <c r="X10" s="1">
        <v>0</v>
      </c>
      <c r="Y10" s="1">
        <f>VLOOKUP($A10,'CAPEX - Manutenção_PPD'!$A$3:$H$22,8,FALSE)+VLOOKUP($A10,'CAPEX - Manutenção_PTR_Taxiway'!$A$3:$H$22,8,FALSE)+VLOOKUP($A10,'CAPEX - Manutenção_Pátio'!$A$3:$H$22,8,FALSE)+VLOOKUP($A10,'CAPEX - Manut._Desemborracham.'!$A$3:$K$54,11,FALSE)</f>
        <v>260905.4756049827</v>
      </c>
      <c r="Z10" s="1">
        <v>0</v>
      </c>
      <c r="AA10" s="1">
        <f>VLOOKUP($A10,'CAPEX - Manutenção_PPD'!$A$3:$I$22,9,FALSE)+VLOOKUP($A10,'CAPEX - Manutenção_PTR_Taxiway'!$A$3:$I$22,9,FALSE)+VLOOKUP($A10,'CAPEX - Manutenção_Pátio'!$A$3:$I$22,9,FALSE)+VLOOKUP($A10,'CAPEX - Manut._Desemborracham.'!$A$3:$L$54,12,FALSE)</f>
        <v>6907644.5256049819</v>
      </c>
      <c r="AB10" s="1">
        <v>0</v>
      </c>
      <c r="AC10" s="1">
        <f>VLOOKUP($A10,'CAPEX - Manut._Desemborracham.'!$A$3:$M$54,13,FALSE)</f>
        <v>63351.135604982657</v>
      </c>
      <c r="AD10" s="1">
        <v>0</v>
      </c>
      <c r="AE10" s="1">
        <f>VLOOKUP($A10,'CAPEX - Manut._Desemborracham.'!$A$3:$N$54,14,FALSE)</f>
        <v>63351.135604982657</v>
      </c>
      <c r="AF10" s="1">
        <f>VLOOKUP($A10,'CAPEX - Manutenção_PPD'!$A$3:$J$22,10,FALSE)+VLOOKUP($A10,'CAPEX - Manutenção_PTR_Taxiway'!$A$3:$J$22,10,FALSE)+VLOOKUP($A10,'CAPEX - Manutenção_Pátio'!$A$3:$J$22,10,FALSE)</f>
        <v>197554.34000000003</v>
      </c>
      <c r="AG10" s="1">
        <f>VLOOKUP($A10,'CAPEX - Manut._Desemborracham.'!$A$3:$O$54,15,FALSE)</f>
        <v>63351.135604982657</v>
      </c>
      <c r="AH10" s="1">
        <v>0</v>
      </c>
      <c r="AI10" s="1">
        <f>VLOOKUP($A10,'CAPEX - Manutenção_PPD'!$A$3:$K$22,11,FALSE)+VLOOKUP($A10,'CAPEX - Manutenção_PTR_Taxiway'!$A$3:$K$22,11,FALSE)+VLOOKUP($A10,'CAPEX - Manutenção_Pátio'!$A$3:$K$22,11,FALSE)+VLOOKUP($A10,'CAPEX - Manut._Desemborracham.'!$A$3:$P$54,16,FALSE)</f>
        <v>260905.4756049827</v>
      </c>
      <c r="AJ10" s="1">
        <v>0</v>
      </c>
      <c r="AK10" s="1">
        <f>VLOOKUP($A10,'CAPEX - Manut._Desemborracham.'!$A$3:$Q$54,17,FALSE)</f>
        <v>63351.135604982657</v>
      </c>
      <c r="AL10" s="1">
        <v>0</v>
      </c>
      <c r="AM10" s="1">
        <f t="shared" si="0"/>
        <v>60850458.154074773</v>
      </c>
      <c r="AN10" s="3">
        <f>VLOOKUP($A10,'BASE PAN - CAPEX'!$A$3:$H$22,8,FALSE)</f>
        <v>3</v>
      </c>
      <c r="AO10" s="3">
        <v>2</v>
      </c>
      <c r="AP10" s="3" t="s">
        <v>97</v>
      </c>
      <c r="AQ10" s="3" t="s">
        <v>97</v>
      </c>
      <c r="AR10" s="3">
        <v>2027</v>
      </c>
      <c r="AS10" s="3" t="s">
        <v>97</v>
      </c>
      <c r="AT10" s="3" t="s">
        <v>97</v>
      </c>
      <c r="AU10" s="3">
        <v>3</v>
      </c>
    </row>
    <row r="11" spans="1:47" x14ac:dyDescent="0.25">
      <c r="A11" t="s">
        <v>67</v>
      </c>
      <c r="B11" t="s">
        <v>68</v>
      </c>
      <c r="C11" t="s">
        <v>69</v>
      </c>
      <c r="D11" t="s">
        <v>70</v>
      </c>
      <c r="E11" t="s">
        <v>31</v>
      </c>
      <c r="F11" t="s">
        <v>28</v>
      </c>
      <c r="G11" t="s">
        <v>29</v>
      </c>
      <c r="H11" s="1">
        <f>VLOOKUP($A11,'BASE PAN - CAPEX'!$A$3:$I$22,9,FALSE)+VLOOKUP($A11,'CAPEX - Manutenção_PPD'!$A$3:$C$22,3,FALSE)+VLOOKUP($A11,'CAPEX - Manutenção_PTR_Taxiway'!$A$3:$C$22,3,FALSE)+VLOOKUP($A11,'CAPEX - Manutenção_Pátio'!$A$3:$C$22,3,FALSE)+VLOOKUP($A11,'CAPEX - Navegação Aérea'!$A$3:$H$22,8,FALSE)</f>
        <v>13455000</v>
      </c>
      <c r="I11" s="1">
        <f>VLOOKUP($A11,'CAPEX - Manut._Desemborracham.'!$A$3:$C$54,3,FALSE)</f>
        <v>0</v>
      </c>
      <c r="J11" s="1">
        <v>0</v>
      </c>
      <c r="K11" s="1">
        <f>VLOOKUP($A11,'CAPEX - Manut._Desemborracham.'!$A$3:$D$54,4,FALSE)</f>
        <v>0</v>
      </c>
      <c r="L11" s="1">
        <f>VLOOKUP($A11,'CAPEX - Manutenção_PPD'!$A$3:$D$22,4,FALSE)+VLOOKUP($A11,'CAPEX - Manutenção_PTR_Taxiway'!$A$3:$D$22,4,FALSE)+VLOOKUP($A11,'CAPEX - Manutenção_Pátio'!$A$3:$D$22,4,FALSE)</f>
        <v>173426.21</v>
      </c>
      <c r="M11" s="1">
        <f>VLOOKUP($A11,'CAPEX - Manut._Desemborracham.'!$A$3:$E$54,5,FALSE)</f>
        <v>0</v>
      </c>
      <c r="N11" s="1">
        <v>0</v>
      </c>
      <c r="O11" s="1">
        <f>VLOOKUP($A11,'CAPEX - Manutenção_PPD'!$A$3:$E$22,5,FALSE)+VLOOKUP($A11,'CAPEX - Manutenção_PTR_Taxiway'!$A$3:$E$22,5,FALSE)+VLOOKUP($A11,'CAPEX - Manutenção_Pátio'!$A$3:$E$22,5,FALSE)+VLOOKUP($A11,'CAPEX - Manut._Desemborracham.'!$A$3:$F$54,6,FALSE)</f>
        <v>173426.21</v>
      </c>
      <c r="P11" s="1">
        <v>0</v>
      </c>
      <c r="Q11" s="1">
        <f>VLOOKUP($A11,'CAPEX - Manutenção_PPD'!$A$3:$F$22,6,FALSE)+VLOOKUP($A11,'CAPEX - Manutenção_PTR_Taxiway'!$A$3:$F$22,6,FALSE)+VLOOKUP($A11,'CAPEX - Manutenção_Pátio'!$A$3:$F$22,6,FALSE)+VLOOKUP($A11,'CAPEX - Manut._Desemborracham.'!$A$3:$G$54,7,FALSE)</f>
        <v>6436027.4199999999</v>
      </c>
      <c r="R11" s="1">
        <v>0</v>
      </c>
      <c r="S11" s="1">
        <f>VLOOKUP($A11,'CAPEX - Manut._Desemborracham.'!$A$3:$H$54,8,FALSE)</f>
        <v>0</v>
      </c>
      <c r="T11" s="1">
        <v>0</v>
      </c>
      <c r="U11" s="1">
        <f>VLOOKUP($A11,'CAPEX - Manut._Desemborracham.'!$A$3:$I$54,9,FALSE)</f>
        <v>0</v>
      </c>
      <c r="V11" s="1">
        <f>VLOOKUP($A11,'CAPEX - Manutenção_PPD'!$A$3:$G$22,7,FALSE)+VLOOKUP($A11,'CAPEX - Manutenção_PTR_Taxiway'!$A$3:$G$22,7,FALSE)+VLOOKUP($A11,'CAPEX - Manutenção_Pátio'!$A$3:$G$22,7,FALSE)</f>
        <v>5802339.9400000004</v>
      </c>
      <c r="W11" s="1">
        <f>VLOOKUP($A11,'CAPEX - Manut._Desemborracham.'!$A$3:$J$54,10,FALSE)</f>
        <v>0</v>
      </c>
      <c r="X11" s="1">
        <v>0</v>
      </c>
      <c r="Y11" s="1">
        <f>VLOOKUP($A11,'CAPEX - Manutenção_PPD'!$A$3:$H$22,8,FALSE)+VLOOKUP($A11,'CAPEX - Manutenção_PTR_Taxiway'!$A$3:$H$22,8,FALSE)+VLOOKUP($A11,'CAPEX - Manutenção_Pátio'!$A$3:$H$22,8,FALSE)+VLOOKUP($A11,'CAPEX - Manut._Desemborracham.'!$A$3:$K$54,11,FALSE)</f>
        <v>173426.21</v>
      </c>
      <c r="Z11" s="1">
        <v>0</v>
      </c>
      <c r="AA11" s="1">
        <f>VLOOKUP($A11,'CAPEX - Manutenção_PPD'!$A$3:$I$22,9,FALSE)+VLOOKUP($A11,'CAPEX - Manutenção_PTR_Taxiway'!$A$3:$I$22,9,FALSE)+VLOOKUP($A11,'CAPEX - Manutenção_Pátio'!$A$3:$I$22,9,FALSE)+VLOOKUP($A11,'CAPEX - Manut._Desemborracham.'!$A$3:$L$54,12,FALSE)</f>
        <v>6436027.4199999999</v>
      </c>
      <c r="AB11" s="1">
        <v>0</v>
      </c>
      <c r="AC11" s="1">
        <f>VLOOKUP($A11,'CAPEX - Manut._Desemborracham.'!$A$3:$M$54,13,FALSE)</f>
        <v>0</v>
      </c>
      <c r="AD11" s="1">
        <v>0</v>
      </c>
      <c r="AE11" s="1">
        <f>VLOOKUP($A11,'CAPEX - Manut._Desemborracham.'!$A$3:$N$54,14,FALSE)</f>
        <v>0</v>
      </c>
      <c r="AF11" s="1">
        <f>VLOOKUP($A11,'CAPEX - Manutenção_PPD'!$A$3:$J$22,10,FALSE)+VLOOKUP($A11,'CAPEX - Manutenção_PTR_Taxiway'!$A$3:$J$22,10,FALSE)+VLOOKUP($A11,'CAPEX - Manutenção_Pátio'!$A$3:$J$22,10,FALSE)</f>
        <v>173426.21</v>
      </c>
      <c r="AG11" s="1">
        <f>VLOOKUP($A11,'CAPEX - Manut._Desemborracham.'!$A$3:$O$54,15,FALSE)</f>
        <v>0</v>
      </c>
      <c r="AH11" s="1">
        <v>0</v>
      </c>
      <c r="AI11" s="1">
        <f>VLOOKUP($A11,'CAPEX - Manutenção_PPD'!$A$3:$K$22,11,FALSE)+VLOOKUP($A11,'CAPEX - Manutenção_PTR_Taxiway'!$A$3:$K$22,11,FALSE)+VLOOKUP($A11,'CAPEX - Manutenção_Pátio'!$A$3:$K$22,11,FALSE)+VLOOKUP($A11,'CAPEX - Manut._Desemborracham.'!$A$3:$P$54,16,FALSE)</f>
        <v>173426.21</v>
      </c>
      <c r="AJ11" s="1">
        <v>0</v>
      </c>
      <c r="AK11" s="1">
        <f>VLOOKUP($A11,'CAPEX - Manut._Desemborracham.'!$A$3:$Q$54,17,FALSE)</f>
        <v>0</v>
      </c>
      <c r="AL11" s="1">
        <v>0</v>
      </c>
      <c r="AM11" s="1">
        <f t="shared" si="0"/>
        <v>32996525.830000006</v>
      </c>
      <c r="AN11" s="3">
        <f>VLOOKUP($A11,'BASE PAN - CAPEX'!$A$3:$H$22,8,FALSE)</f>
        <v>1</v>
      </c>
      <c r="AO11" s="3">
        <v>1</v>
      </c>
      <c r="AP11" s="3" t="s">
        <v>97</v>
      </c>
      <c r="AQ11" s="3" t="s">
        <v>97</v>
      </c>
      <c r="AR11" s="3" t="s">
        <v>97</v>
      </c>
      <c r="AS11" s="3" t="s">
        <v>97</v>
      </c>
      <c r="AT11" s="3" t="s">
        <v>97</v>
      </c>
      <c r="AU11" s="3" t="s">
        <v>97</v>
      </c>
    </row>
    <row r="12" spans="1:47" x14ac:dyDescent="0.25">
      <c r="A12" t="s">
        <v>71</v>
      </c>
      <c r="B12" t="s">
        <v>72</v>
      </c>
      <c r="C12" t="s">
        <v>73</v>
      </c>
      <c r="D12" t="s">
        <v>72</v>
      </c>
      <c r="E12" t="s">
        <v>25</v>
      </c>
      <c r="F12" t="s">
        <v>28</v>
      </c>
      <c r="G12" t="s">
        <v>29</v>
      </c>
      <c r="H12" s="1">
        <f>VLOOKUP($A12,'BASE PAN - CAPEX'!$A$3:$I$22,9,FALSE)+VLOOKUP($A12,'CAPEX - Manutenção_PPD'!$A$3:$C$22,3,FALSE)+VLOOKUP($A12,'CAPEX - Manutenção_PTR_Taxiway'!$A$3:$C$22,3,FALSE)+VLOOKUP($A12,'CAPEX - Manutenção_Pátio'!$A$3:$C$22,3,FALSE)+VLOOKUP($A12,'CAPEX - Navegação Aérea'!$A$3:$H$22,8,FALSE)</f>
        <v>8310000</v>
      </c>
      <c r="I12" s="1">
        <f>VLOOKUP($A12,'CAPEX - Manut._Desemborracham.'!$A$3:$C$54,3,FALSE)</f>
        <v>90929.208398485542</v>
      </c>
      <c r="J12" s="1">
        <v>0</v>
      </c>
      <c r="K12" s="1">
        <f>VLOOKUP($A12,'CAPEX - Manut._Desemborracham.'!$A$3:$D$54,4,FALSE)</f>
        <v>90929.208398485542</v>
      </c>
      <c r="L12" s="1">
        <f>VLOOKUP($A12,'CAPEX - Manutenção_PPD'!$A$3:$D$22,4,FALSE)+VLOOKUP($A12,'CAPEX - Manutenção_PTR_Taxiway'!$A$3:$D$22,4,FALSE)+VLOOKUP($A12,'CAPEX - Manutenção_Pátio'!$A$3:$D$22,4,FALSE)</f>
        <v>219299.4</v>
      </c>
      <c r="M12" s="1">
        <f>VLOOKUP($A12,'CAPEX - Manut._Desemborracham.'!$A$3:$E$54,5,FALSE)</f>
        <v>90929.208398485542</v>
      </c>
      <c r="N12" s="1">
        <v>0</v>
      </c>
      <c r="O12" s="1">
        <f>VLOOKUP($A12,'CAPEX - Manutenção_PPD'!$A$3:$E$22,5,FALSE)+VLOOKUP($A12,'CAPEX - Manutenção_PTR_Taxiway'!$A$3:$E$22,5,FALSE)+VLOOKUP($A12,'CAPEX - Manutenção_Pátio'!$A$3:$E$22,5,FALSE)+VLOOKUP($A12,'CAPEX - Manut._Desemborracham.'!$A$3:$F$54,6,FALSE)</f>
        <v>310228.60839848552</v>
      </c>
      <c r="P12" s="1">
        <v>0</v>
      </c>
      <c r="Q12" s="1">
        <f>VLOOKUP($A12,'CAPEX - Manutenção_PPD'!$A$3:$F$22,6,FALSE)+VLOOKUP($A12,'CAPEX - Manutenção_PTR_Taxiway'!$A$3:$F$22,6,FALSE)+VLOOKUP($A12,'CAPEX - Manutenção_Pátio'!$A$3:$F$22,6,FALSE)+VLOOKUP($A12,'CAPEX - Manut._Desemborracham.'!$A$3:$G$54,7,FALSE)</f>
        <v>13300789.148398487</v>
      </c>
      <c r="R12" s="1">
        <v>0</v>
      </c>
      <c r="S12" s="1">
        <f>VLOOKUP($A12,'CAPEX - Manut._Desemborracham.'!$A$3:$H$54,8,FALSE)</f>
        <v>90929.208398485542</v>
      </c>
      <c r="T12" s="1">
        <v>0</v>
      </c>
      <c r="U12" s="1">
        <f>VLOOKUP($A12,'CAPEX - Manut._Desemborracham.'!$A$3:$I$54,9,FALSE)</f>
        <v>90929.208398485542</v>
      </c>
      <c r="V12" s="1">
        <f>VLOOKUP($A12,'CAPEX - Manutenção_PPD'!$A$3:$G$22,7,FALSE)+VLOOKUP($A12,'CAPEX - Manutenção_PTR_Taxiway'!$A$3:$G$22,7,FALSE)+VLOOKUP($A12,'CAPEX - Manutenção_Pátio'!$A$3:$G$22,7,FALSE)</f>
        <v>6026773.2699999996</v>
      </c>
      <c r="W12" s="1">
        <f>VLOOKUP($A12,'CAPEX - Manut._Desemborracham.'!$A$3:$J$54,10,FALSE)</f>
        <v>90929.208398485542</v>
      </c>
      <c r="X12" s="1">
        <v>0</v>
      </c>
      <c r="Y12" s="1">
        <f>VLOOKUP($A12,'CAPEX - Manutenção_PPD'!$A$3:$H$22,8,FALSE)+VLOOKUP($A12,'CAPEX - Manutenção_PTR_Taxiway'!$A$3:$H$22,8,FALSE)+VLOOKUP($A12,'CAPEX - Manutenção_Pátio'!$A$3:$H$22,8,FALSE)+VLOOKUP($A12,'CAPEX - Manut._Desemborracham.'!$A$3:$K$54,11,FALSE)</f>
        <v>310228.60839848552</v>
      </c>
      <c r="Z12" s="1">
        <v>0</v>
      </c>
      <c r="AA12" s="1">
        <f>VLOOKUP($A12,'CAPEX - Manutenção_PPD'!$A$3:$I$22,9,FALSE)+VLOOKUP($A12,'CAPEX - Manutenção_PTR_Taxiway'!$A$3:$I$22,9,FALSE)+VLOOKUP($A12,'CAPEX - Manutenção_Pátio'!$A$3:$I$22,9,FALSE)+VLOOKUP($A12,'CAPEX - Manut._Desemborracham.'!$A$3:$L$54,12,FALSE)</f>
        <v>13300789.148398487</v>
      </c>
      <c r="AB12" s="1">
        <v>0</v>
      </c>
      <c r="AC12" s="1">
        <f>VLOOKUP($A12,'CAPEX - Manut._Desemborracham.'!$A$3:$M$54,13,FALSE)</f>
        <v>90929.208398485542</v>
      </c>
      <c r="AD12" s="1">
        <v>0</v>
      </c>
      <c r="AE12" s="1">
        <f>VLOOKUP($A12,'CAPEX - Manut._Desemborracham.'!$A$3:$N$54,14,FALSE)</f>
        <v>90929.208398485542</v>
      </c>
      <c r="AF12" s="1">
        <f>VLOOKUP($A12,'CAPEX - Manutenção_PPD'!$A$3:$J$22,10,FALSE)+VLOOKUP($A12,'CAPEX - Manutenção_PTR_Taxiway'!$A$3:$J$22,10,FALSE)+VLOOKUP($A12,'CAPEX - Manutenção_Pátio'!$A$3:$J$22,10,FALSE)</f>
        <v>219299.4</v>
      </c>
      <c r="AG12" s="1">
        <f>VLOOKUP($A12,'CAPEX - Manut._Desemborracham.'!$A$3:$O$54,15,FALSE)</f>
        <v>90929.208398485542</v>
      </c>
      <c r="AH12" s="1">
        <v>0</v>
      </c>
      <c r="AI12" s="1">
        <f>VLOOKUP($A12,'CAPEX - Manutenção_PPD'!$A$3:$K$22,11,FALSE)+VLOOKUP($A12,'CAPEX - Manutenção_PTR_Taxiway'!$A$3:$K$22,11,FALSE)+VLOOKUP($A12,'CAPEX - Manutenção_Pátio'!$A$3:$K$22,11,FALSE)+VLOOKUP($A12,'CAPEX - Manut._Desemborracham.'!$A$3:$P$54,16,FALSE)</f>
        <v>310228.60839848552</v>
      </c>
      <c r="AJ12" s="1">
        <v>0</v>
      </c>
      <c r="AK12" s="1">
        <f>VLOOKUP($A12,'CAPEX - Manut._Desemborracham.'!$A$3:$Q$54,17,FALSE)</f>
        <v>90929.208398485542</v>
      </c>
      <c r="AL12" s="1">
        <v>0</v>
      </c>
      <c r="AM12" s="1">
        <f t="shared" si="0"/>
        <v>43216928.275977269</v>
      </c>
      <c r="AN12" s="3">
        <f>VLOOKUP($A12,'BASE PAN - CAPEX'!$A$3:$H$22,8,FALSE)</f>
        <v>3</v>
      </c>
      <c r="AO12" s="3">
        <v>2</v>
      </c>
      <c r="AP12" s="3" t="s">
        <v>97</v>
      </c>
      <c r="AQ12" s="3" t="s">
        <v>97</v>
      </c>
      <c r="AR12" s="3">
        <v>2025</v>
      </c>
      <c r="AS12" s="3" t="s">
        <v>97</v>
      </c>
      <c r="AT12" s="3" t="s">
        <v>97</v>
      </c>
      <c r="AU12" s="3">
        <v>3</v>
      </c>
    </row>
    <row r="13" spans="1:47" x14ac:dyDescent="0.25">
      <c r="A13" t="s">
        <v>76</v>
      </c>
      <c r="B13" t="s">
        <v>77</v>
      </c>
      <c r="C13" t="s">
        <v>78</v>
      </c>
      <c r="D13" t="s">
        <v>77</v>
      </c>
      <c r="E13" t="s">
        <v>27</v>
      </c>
      <c r="F13" t="s">
        <v>28</v>
      </c>
      <c r="G13" t="s">
        <v>29</v>
      </c>
      <c r="H13" s="1">
        <f>VLOOKUP($A13,'BASE PAN - CAPEX'!$A$3:$I$22,9,FALSE)+VLOOKUP($A13,'CAPEX - Manutenção_PPD'!$A$3:$C$22,3,FALSE)+VLOOKUP($A13,'CAPEX - Manutenção_PTR_Taxiway'!$A$3:$C$22,3,FALSE)+VLOOKUP($A13,'CAPEX - Manutenção_Pátio'!$A$3:$C$22,3,FALSE)+VLOOKUP($A13,'CAPEX - Navegação Aérea'!$A$3:$H$22,8,FALSE)</f>
        <v>15785000</v>
      </c>
      <c r="I13" s="1">
        <f>VLOOKUP($A13,'CAPEX - Manut._Desemborracham.'!$A$3:$C$54,3,FALSE)</f>
        <v>74052.93638116763</v>
      </c>
      <c r="J13" s="1">
        <v>0</v>
      </c>
      <c r="K13" s="1">
        <f>VLOOKUP($A13,'CAPEX - Manut._Desemborracham.'!$A$3:$D$54,4,FALSE)</f>
        <v>74052.93638116763</v>
      </c>
      <c r="L13" s="1">
        <f>VLOOKUP($A13,'CAPEX - Manutenção_PPD'!$A$3:$D$22,4,FALSE)+VLOOKUP($A13,'CAPEX - Manutenção_PTR_Taxiway'!$A$3:$D$22,4,FALSE)+VLOOKUP($A13,'CAPEX - Manutenção_Pátio'!$A$3:$D$22,4,FALSE)</f>
        <v>209849.61000000002</v>
      </c>
      <c r="M13" s="1">
        <f>VLOOKUP($A13,'CAPEX - Manut._Desemborracham.'!$A$3:$E$54,5,FALSE)</f>
        <v>74052.93638116763</v>
      </c>
      <c r="N13" s="1">
        <v>0</v>
      </c>
      <c r="O13" s="1">
        <f>VLOOKUP($A13,'CAPEX - Manutenção_PPD'!$A$3:$E$22,5,FALSE)+VLOOKUP($A13,'CAPEX - Manutenção_PTR_Taxiway'!$A$3:$E$22,5,FALSE)+VLOOKUP($A13,'CAPEX - Manutenção_Pátio'!$A$3:$E$22,5,FALSE)+VLOOKUP($A13,'CAPEX - Manut._Desemborracham.'!$A$3:$F$54,6,FALSE)</f>
        <v>283902.54638116766</v>
      </c>
      <c r="P13" s="1">
        <v>0</v>
      </c>
      <c r="Q13" s="1">
        <f>VLOOKUP($A13,'CAPEX - Manutenção_PPD'!$A$3:$F$22,6,FALSE)+VLOOKUP($A13,'CAPEX - Manutenção_PTR_Taxiway'!$A$3:$F$22,6,FALSE)+VLOOKUP($A13,'CAPEX - Manutenção_Pátio'!$A$3:$F$22,6,FALSE)+VLOOKUP($A13,'CAPEX - Manut._Desemborracham.'!$A$3:$G$54,7,FALSE)</f>
        <v>10434355.616381165</v>
      </c>
      <c r="R13" s="1">
        <v>0</v>
      </c>
      <c r="S13" s="1">
        <f>VLOOKUP($A13,'CAPEX - Manut._Desemborracham.'!$A$3:$H$54,8,FALSE)</f>
        <v>74052.93638116763</v>
      </c>
      <c r="T13" s="1">
        <v>0</v>
      </c>
      <c r="U13" s="1">
        <f>VLOOKUP($A13,'CAPEX - Manut._Desemborracham.'!$A$3:$I$54,9,FALSE)</f>
        <v>74052.93638116763</v>
      </c>
      <c r="V13" s="1">
        <f>VLOOKUP($A13,'CAPEX - Manutenção_PPD'!$A$3:$G$22,7,FALSE)+VLOOKUP($A13,'CAPEX - Manutenção_PTR_Taxiway'!$A$3:$G$22,7,FALSE)+VLOOKUP($A13,'CAPEX - Manutenção_Pátio'!$A$3:$G$22,7,FALSE)</f>
        <v>7394235.2199999997</v>
      </c>
      <c r="W13" s="1">
        <f>VLOOKUP($A13,'CAPEX - Manut._Desemborracham.'!$A$3:$J$54,10,FALSE)</f>
        <v>74052.93638116763</v>
      </c>
      <c r="X13" s="1">
        <v>0</v>
      </c>
      <c r="Y13" s="1">
        <f>VLOOKUP($A13,'CAPEX - Manutenção_PPD'!$A$3:$H$22,8,FALSE)+VLOOKUP($A13,'CAPEX - Manutenção_PTR_Taxiway'!$A$3:$H$22,8,FALSE)+VLOOKUP($A13,'CAPEX - Manutenção_Pátio'!$A$3:$H$22,8,FALSE)+VLOOKUP($A13,'CAPEX - Manut._Desemborracham.'!$A$3:$K$54,11,FALSE)</f>
        <v>283902.54638116766</v>
      </c>
      <c r="Z13" s="1">
        <v>0</v>
      </c>
      <c r="AA13" s="1">
        <f>VLOOKUP($A13,'CAPEX - Manutenção_PPD'!$A$3:$I$22,9,FALSE)+VLOOKUP($A13,'CAPEX - Manutenção_PTR_Taxiway'!$A$3:$I$22,9,FALSE)+VLOOKUP($A13,'CAPEX - Manutenção_Pátio'!$A$3:$I$22,9,FALSE)+VLOOKUP($A13,'CAPEX - Manut._Desemborracham.'!$A$3:$L$54,12,FALSE)</f>
        <v>10434355.616381165</v>
      </c>
      <c r="AB13" s="1">
        <v>0</v>
      </c>
      <c r="AC13" s="1">
        <f>VLOOKUP($A13,'CAPEX - Manut._Desemborracham.'!$A$3:$M$54,13,FALSE)</f>
        <v>74052.93638116763</v>
      </c>
      <c r="AD13" s="1">
        <v>0</v>
      </c>
      <c r="AE13" s="1">
        <f>VLOOKUP($A13,'CAPEX - Manut._Desemborracham.'!$A$3:$N$54,14,FALSE)</f>
        <v>74052.93638116763</v>
      </c>
      <c r="AF13" s="1">
        <f>VLOOKUP($A13,'CAPEX - Manutenção_PPD'!$A$3:$J$22,10,FALSE)+VLOOKUP($A13,'CAPEX - Manutenção_PTR_Taxiway'!$A$3:$J$22,10,FALSE)+VLOOKUP($A13,'CAPEX - Manutenção_Pátio'!$A$3:$J$22,10,FALSE)</f>
        <v>209849.61000000002</v>
      </c>
      <c r="AG13" s="1">
        <f>VLOOKUP($A13,'CAPEX - Manut._Desemborracham.'!$A$3:$O$54,15,FALSE)</f>
        <v>74052.93638116763</v>
      </c>
      <c r="AH13" s="1">
        <v>0</v>
      </c>
      <c r="AI13" s="1">
        <f>VLOOKUP($A13,'CAPEX - Manutenção_PPD'!$A$3:$K$22,11,FALSE)+VLOOKUP($A13,'CAPEX - Manutenção_PTR_Taxiway'!$A$3:$K$22,11,FALSE)+VLOOKUP($A13,'CAPEX - Manutenção_Pátio'!$A$3:$K$22,11,FALSE)+VLOOKUP($A13,'CAPEX - Manut._Desemborracham.'!$A$3:$P$54,16,FALSE)</f>
        <v>283902.54638116766</v>
      </c>
      <c r="AJ13" s="1">
        <v>0</v>
      </c>
      <c r="AK13" s="1">
        <f>VLOOKUP($A13,'CAPEX - Manut._Desemborracham.'!$A$3:$Q$54,17,FALSE)</f>
        <v>74052.93638116763</v>
      </c>
      <c r="AL13" s="1">
        <v>0</v>
      </c>
      <c r="AM13" s="1">
        <f t="shared" si="0"/>
        <v>46059882.67571751</v>
      </c>
      <c r="AN13" s="3">
        <f>VLOOKUP($A13,'BASE PAN - CAPEX'!$A$3:$H$22,8,FALSE)</f>
        <v>3</v>
      </c>
      <c r="AO13" s="3">
        <v>1</v>
      </c>
      <c r="AP13" s="3" t="s">
        <v>97</v>
      </c>
      <c r="AQ13" s="3">
        <v>2038</v>
      </c>
      <c r="AR13" s="3">
        <v>2024</v>
      </c>
      <c r="AS13" s="3" t="s">
        <v>97</v>
      </c>
      <c r="AT13" s="3">
        <v>3</v>
      </c>
      <c r="AU13" s="3">
        <v>2</v>
      </c>
    </row>
    <row r="14" spans="1:47" x14ac:dyDescent="0.25">
      <c r="A14" t="s">
        <v>80</v>
      </c>
      <c r="B14" t="s">
        <v>81</v>
      </c>
      <c r="C14" t="s">
        <v>82</v>
      </c>
      <c r="D14" t="s">
        <v>83</v>
      </c>
      <c r="E14" t="s">
        <v>33</v>
      </c>
      <c r="F14" t="s">
        <v>28</v>
      </c>
      <c r="G14" t="s">
        <v>29</v>
      </c>
      <c r="H14" s="1">
        <f>VLOOKUP($A14,'BASE PAN - CAPEX'!$A$3:$I$22,9,FALSE)+VLOOKUP($A14,'CAPEX - Manutenção_PPD'!$A$3:$C$22,3,FALSE)+VLOOKUP($A14,'CAPEX - Manutenção_PTR_Taxiway'!$A$3:$C$22,3,FALSE)+VLOOKUP($A14,'CAPEX - Manutenção_Pátio'!$A$3:$C$22,3,FALSE)+VLOOKUP($A14,'CAPEX - Navegação Aérea'!$A$3:$H$22,8,FALSE)</f>
        <v>17985000</v>
      </c>
      <c r="I14" s="1">
        <f>VLOOKUP($A14,'CAPEX - Manut._Desemborracham.'!$A$3:$C$54,3,FALSE)</f>
        <v>0</v>
      </c>
      <c r="J14" s="1">
        <v>0</v>
      </c>
      <c r="K14" s="1">
        <f>VLOOKUP($A14,'CAPEX - Manut._Desemborracham.'!$A$3:$D$54,4,FALSE)</f>
        <v>0</v>
      </c>
      <c r="L14" s="1">
        <f>VLOOKUP($A14,'CAPEX - Manutenção_PPD'!$A$3:$D$22,4,FALSE)+VLOOKUP($A14,'CAPEX - Manutenção_PTR_Taxiway'!$A$3:$D$22,4,FALSE)+VLOOKUP($A14,'CAPEX - Manutenção_Pátio'!$A$3:$D$22,4,FALSE)</f>
        <v>176280.99</v>
      </c>
      <c r="M14" s="1">
        <f>VLOOKUP($A14,'CAPEX - Manut._Desemborracham.'!$A$3:$E$54,5,FALSE)</f>
        <v>0</v>
      </c>
      <c r="N14" s="1">
        <v>0</v>
      </c>
      <c r="O14" s="1">
        <f>VLOOKUP($A14,'CAPEX - Manutenção_PPD'!$A$3:$E$22,5,FALSE)+VLOOKUP($A14,'CAPEX - Manutenção_PTR_Taxiway'!$A$3:$E$22,5,FALSE)+VLOOKUP($A14,'CAPEX - Manutenção_Pátio'!$A$3:$E$22,5,FALSE)+VLOOKUP($A14,'CAPEX - Manut._Desemborracham.'!$A$3:$F$54,6,FALSE)</f>
        <v>176280.99</v>
      </c>
      <c r="P14" s="1">
        <v>0</v>
      </c>
      <c r="Q14" s="1">
        <f>VLOOKUP($A14,'CAPEX - Manutenção_PPD'!$A$3:$F$22,6,FALSE)+VLOOKUP($A14,'CAPEX - Manutenção_PTR_Taxiway'!$A$3:$F$22,6,FALSE)+VLOOKUP($A14,'CAPEX - Manutenção_Pátio'!$A$3:$F$22,6,FALSE)+VLOOKUP($A14,'CAPEX - Manut._Desemborracham.'!$A$3:$G$54,7,FALSE)</f>
        <v>9253990.910000002</v>
      </c>
      <c r="R14" s="1">
        <v>0</v>
      </c>
      <c r="S14" s="1">
        <f>VLOOKUP($A14,'CAPEX - Manut._Desemborracham.'!$A$3:$H$54,8,FALSE)</f>
        <v>0</v>
      </c>
      <c r="T14" s="1">
        <v>0</v>
      </c>
      <c r="U14" s="1">
        <f>VLOOKUP($A14,'CAPEX - Manut._Desemborracham.'!$A$3:$I$54,9,FALSE)</f>
        <v>0</v>
      </c>
      <c r="V14" s="1">
        <f>VLOOKUP($A14,'CAPEX - Manutenção_PPD'!$A$3:$G$22,7,FALSE)+VLOOKUP($A14,'CAPEX - Manutenção_PTR_Taxiway'!$A$3:$G$22,7,FALSE)+VLOOKUP($A14,'CAPEX - Manutenção_Pátio'!$A$3:$G$22,7,FALSE)</f>
        <v>7369668.2600000007</v>
      </c>
      <c r="W14" s="1">
        <f>VLOOKUP($A14,'CAPEX - Manut._Desemborracham.'!$A$3:$J$54,10,FALSE)</f>
        <v>0</v>
      </c>
      <c r="X14" s="1">
        <v>0</v>
      </c>
      <c r="Y14" s="1">
        <f>VLOOKUP($A14,'CAPEX - Manutenção_PPD'!$A$3:$H$22,8,FALSE)+VLOOKUP($A14,'CAPEX - Manutenção_PTR_Taxiway'!$A$3:$H$22,8,FALSE)+VLOOKUP($A14,'CAPEX - Manutenção_Pátio'!$A$3:$H$22,8,FALSE)+VLOOKUP($A14,'CAPEX - Manut._Desemborracham.'!$A$3:$K$54,11,FALSE)</f>
        <v>176280.99</v>
      </c>
      <c r="Z14" s="1">
        <v>0</v>
      </c>
      <c r="AA14" s="1">
        <f>VLOOKUP($A14,'CAPEX - Manutenção_PPD'!$A$3:$I$22,9,FALSE)+VLOOKUP($A14,'CAPEX - Manutenção_PTR_Taxiway'!$A$3:$I$22,9,FALSE)+VLOOKUP($A14,'CAPEX - Manutenção_Pátio'!$A$3:$I$22,9,FALSE)+VLOOKUP($A14,'CAPEX - Manut._Desemborracham.'!$A$3:$L$54,12,FALSE)</f>
        <v>9253990.910000002</v>
      </c>
      <c r="AB14" s="1">
        <v>0</v>
      </c>
      <c r="AC14" s="1">
        <f>VLOOKUP($A14,'CAPEX - Manut._Desemborracham.'!$A$3:$M$54,13,FALSE)</f>
        <v>0</v>
      </c>
      <c r="AD14" s="1">
        <v>0</v>
      </c>
      <c r="AE14" s="1">
        <f>VLOOKUP($A14,'CAPEX - Manut._Desemborracham.'!$A$3:$N$54,14,FALSE)</f>
        <v>0</v>
      </c>
      <c r="AF14" s="1">
        <f>VLOOKUP($A14,'CAPEX - Manutenção_PPD'!$A$3:$J$22,10,FALSE)+VLOOKUP($A14,'CAPEX - Manutenção_PTR_Taxiway'!$A$3:$J$22,10,FALSE)+VLOOKUP($A14,'CAPEX - Manutenção_Pátio'!$A$3:$J$22,10,FALSE)</f>
        <v>176280.99</v>
      </c>
      <c r="AG14" s="1">
        <f>VLOOKUP($A14,'CAPEX - Manut._Desemborracham.'!$A$3:$O$54,15,FALSE)</f>
        <v>0</v>
      </c>
      <c r="AH14" s="1">
        <v>0</v>
      </c>
      <c r="AI14" s="1">
        <f>VLOOKUP($A14,'CAPEX - Manutenção_PPD'!$A$3:$K$22,11,FALSE)+VLOOKUP($A14,'CAPEX - Manutenção_PTR_Taxiway'!$A$3:$K$22,11,FALSE)+VLOOKUP($A14,'CAPEX - Manutenção_Pátio'!$A$3:$K$22,11,FALSE)+VLOOKUP($A14,'CAPEX - Manut._Desemborracham.'!$A$3:$P$54,16,FALSE)</f>
        <v>176280.99</v>
      </c>
      <c r="AJ14" s="1">
        <v>0</v>
      </c>
      <c r="AK14" s="1">
        <f>VLOOKUP($A14,'CAPEX - Manut._Desemborracham.'!$A$3:$Q$54,17,FALSE)</f>
        <v>0</v>
      </c>
      <c r="AL14" s="1">
        <v>0</v>
      </c>
      <c r="AM14" s="1">
        <f t="shared" si="0"/>
        <v>44744055.030000009</v>
      </c>
      <c r="AN14" s="3">
        <f>VLOOKUP($A14,'BASE PAN - CAPEX'!$A$3:$H$22,8,FALSE)</f>
        <v>2</v>
      </c>
      <c r="AO14" s="3">
        <v>1</v>
      </c>
      <c r="AP14" s="3" t="s">
        <v>97</v>
      </c>
      <c r="AQ14" s="3" t="s">
        <v>97</v>
      </c>
      <c r="AR14" s="3">
        <v>2029</v>
      </c>
      <c r="AS14" s="3" t="s">
        <v>97</v>
      </c>
      <c r="AT14" s="3" t="s">
        <v>97</v>
      </c>
      <c r="AU14" s="3">
        <v>2</v>
      </c>
    </row>
    <row r="15" spans="1:47" x14ac:dyDescent="0.25">
      <c r="A15" t="s">
        <v>85</v>
      </c>
      <c r="B15" t="s">
        <v>86</v>
      </c>
      <c r="C15" t="s">
        <v>87</v>
      </c>
      <c r="D15" t="s">
        <v>86</v>
      </c>
      <c r="E15" t="s">
        <v>30</v>
      </c>
      <c r="F15" t="s">
        <v>28</v>
      </c>
      <c r="G15" t="s">
        <v>29</v>
      </c>
      <c r="H15" s="1">
        <f>VLOOKUP($A15,'BASE PAN - CAPEX'!$A$3:$I$22,9,FALSE)+VLOOKUP($A15,'CAPEX - Manutenção_PPD'!$A$3:$C$22,3,FALSE)+VLOOKUP($A15,'CAPEX - Manutenção_PTR_Taxiway'!$A$3:$C$22,3,FALSE)+VLOOKUP($A15,'CAPEX - Manutenção_Pátio'!$A$3:$C$22,3,FALSE)+VLOOKUP($A15,'CAPEX - Navegação Aérea'!$A$3:$H$22,8,FALSE)</f>
        <v>41655000</v>
      </c>
      <c r="I15" s="1">
        <f>VLOOKUP($A15,'CAPEX - Manut._Desemborracham.'!$A$3:$C$54,3,FALSE)</f>
        <v>97050.257266612709</v>
      </c>
      <c r="J15" s="1">
        <v>0</v>
      </c>
      <c r="K15" s="1">
        <f>VLOOKUP($A15,'CAPEX - Manut._Desemborracham.'!$A$3:$D$54,4,FALSE)</f>
        <v>97050.257266612709</v>
      </c>
      <c r="L15" s="1">
        <f>VLOOKUP($A15,'CAPEX - Manutenção_PPD'!$A$3:$D$22,4,FALSE)+VLOOKUP($A15,'CAPEX - Manutenção_PTR_Taxiway'!$A$3:$D$22,4,FALSE)+VLOOKUP($A15,'CAPEX - Manutenção_Pátio'!$A$3:$D$22,4,FALSE)</f>
        <v>221148.2</v>
      </c>
      <c r="M15" s="1">
        <f>VLOOKUP($A15,'CAPEX - Manut._Desemborracham.'!$A$3:$E$54,5,FALSE)</f>
        <v>97050.257266612709</v>
      </c>
      <c r="N15" s="1">
        <v>0</v>
      </c>
      <c r="O15" s="1">
        <f>VLOOKUP($A15,'CAPEX - Manutenção_PPD'!$A$3:$E$22,5,FALSE)+VLOOKUP($A15,'CAPEX - Manutenção_PTR_Taxiway'!$A$3:$E$22,5,FALSE)+VLOOKUP($A15,'CAPEX - Manutenção_Pátio'!$A$3:$E$22,5,FALSE)+VLOOKUP($A15,'CAPEX - Manut._Desemborracham.'!$A$3:$F$54,6,FALSE)</f>
        <v>318198.45726661274</v>
      </c>
      <c r="P15" s="1">
        <v>0</v>
      </c>
      <c r="Q15" s="1">
        <f>VLOOKUP($A15,'CAPEX - Manutenção_PPD'!$A$3:$F$22,6,FALSE)+VLOOKUP($A15,'CAPEX - Manutenção_PTR_Taxiway'!$A$3:$F$22,6,FALSE)+VLOOKUP($A15,'CAPEX - Manutenção_Pátio'!$A$3:$F$22,6,FALSE)+VLOOKUP($A15,'CAPEX - Manut._Desemborracham.'!$A$3:$G$54,7,FALSE)</f>
        <v>9084197.3172666114</v>
      </c>
      <c r="R15" s="1">
        <v>0</v>
      </c>
      <c r="S15" s="1">
        <f>VLOOKUP($A15,'CAPEX - Manut._Desemborracham.'!$A$3:$H$54,8,FALSE)</f>
        <v>97050.257266612709</v>
      </c>
      <c r="T15" s="1">
        <v>0</v>
      </c>
      <c r="U15" s="1">
        <f>VLOOKUP($A15,'CAPEX - Manut._Desemborracham.'!$A$3:$I$54,9,FALSE)</f>
        <v>97050.257266612709</v>
      </c>
      <c r="V15" s="1">
        <f>VLOOKUP($A15,'CAPEX - Manutenção_PPD'!$A$3:$G$22,7,FALSE)+VLOOKUP($A15,'CAPEX - Manutenção_PTR_Taxiway'!$A$3:$G$22,7,FALSE)+VLOOKUP($A15,'CAPEX - Manutenção_Pátio'!$A$3:$G$22,7,FALSE)</f>
        <v>5407363.2599999998</v>
      </c>
      <c r="W15" s="1">
        <f>VLOOKUP($A15,'CAPEX - Manut._Desemborracham.'!$A$3:$J$54,10,FALSE)</f>
        <v>97050.257266612709</v>
      </c>
      <c r="X15" s="1">
        <v>0</v>
      </c>
      <c r="Y15" s="1">
        <f>VLOOKUP($A15,'CAPEX - Manutenção_PPD'!$A$3:$H$22,8,FALSE)+VLOOKUP($A15,'CAPEX - Manutenção_PTR_Taxiway'!$A$3:$H$22,8,FALSE)+VLOOKUP($A15,'CAPEX - Manutenção_Pátio'!$A$3:$H$22,8,FALSE)+VLOOKUP($A15,'CAPEX - Manut._Desemborracham.'!$A$3:$K$54,11,FALSE)</f>
        <v>318198.45726661274</v>
      </c>
      <c r="Z15" s="1">
        <v>0</v>
      </c>
      <c r="AA15" s="1">
        <f>VLOOKUP($A15,'CAPEX - Manutenção_PPD'!$A$3:$I$22,9,FALSE)+VLOOKUP($A15,'CAPEX - Manutenção_PTR_Taxiway'!$A$3:$I$22,9,FALSE)+VLOOKUP($A15,'CAPEX - Manutenção_Pátio'!$A$3:$I$22,9,FALSE)+VLOOKUP($A15,'CAPEX - Manut._Desemborracham.'!$A$3:$L$54,12,FALSE)</f>
        <v>9084197.3172666114</v>
      </c>
      <c r="AB15" s="1">
        <v>0</v>
      </c>
      <c r="AC15" s="1">
        <f>VLOOKUP($A15,'CAPEX - Manut._Desemborracham.'!$A$3:$M$54,13,FALSE)</f>
        <v>97050.257266612709</v>
      </c>
      <c r="AD15" s="1">
        <v>0</v>
      </c>
      <c r="AE15" s="1">
        <f>VLOOKUP($A15,'CAPEX - Manut._Desemborracham.'!$A$3:$N$54,14,FALSE)</f>
        <v>97050.257266612709</v>
      </c>
      <c r="AF15" s="1">
        <f>VLOOKUP($A15,'CAPEX - Manutenção_PPD'!$A$3:$J$22,10,FALSE)+VLOOKUP($A15,'CAPEX - Manutenção_PTR_Taxiway'!$A$3:$J$22,10,FALSE)+VLOOKUP($A15,'CAPEX - Manutenção_Pátio'!$A$3:$J$22,10,FALSE)</f>
        <v>221148.2</v>
      </c>
      <c r="AG15" s="1">
        <f>VLOOKUP($A15,'CAPEX - Manut._Desemborracham.'!$A$3:$O$54,15,FALSE)</f>
        <v>97050.257266612709</v>
      </c>
      <c r="AH15" s="1">
        <v>0</v>
      </c>
      <c r="AI15" s="1">
        <f>VLOOKUP($A15,'CAPEX - Manutenção_PPD'!$A$3:$K$22,11,FALSE)+VLOOKUP($A15,'CAPEX - Manutenção_PTR_Taxiway'!$A$3:$K$22,11,FALSE)+VLOOKUP($A15,'CAPEX - Manutenção_Pátio'!$A$3:$K$22,11,FALSE)+VLOOKUP($A15,'CAPEX - Manut._Desemborracham.'!$A$3:$P$54,16,FALSE)</f>
        <v>318198.45726661274</v>
      </c>
      <c r="AJ15" s="1">
        <v>0</v>
      </c>
      <c r="AK15" s="1">
        <f>VLOOKUP($A15,'CAPEX - Manut._Desemborracham.'!$A$3:$Q$54,17,FALSE)</f>
        <v>97050.257266612709</v>
      </c>
      <c r="AL15" s="1">
        <v>0</v>
      </c>
      <c r="AM15" s="1">
        <f t="shared" si="0"/>
        <v>67598152.238999188</v>
      </c>
      <c r="AN15" s="3">
        <f>VLOOKUP($A15,'BASE PAN - CAPEX'!$A$3:$H$22,8,FALSE)</f>
        <v>3</v>
      </c>
      <c r="AO15" s="3">
        <v>3</v>
      </c>
      <c r="AP15" s="3" t="s">
        <v>97</v>
      </c>
      <c r="AQ15" s="3" t="s">
        <v>97</v>
      </c>
      <c r="AR15" s="3" t="s">
        <v>97</v>
      </c>
      <c r="AS15" s="3" t="s">
        <v>97</v>
      </c>
      <c r="AT15" s="3" t="s">
        <v>97</v>
      </c>
      <c r="AU15" s="3" t="s">
        <v>97</v>
      </c>
    </row>
    <row r="16" spans="1:47" x14ac:dyDescent="0.25">
      <c r="A16" t="s">
        <v>130</v>
      </c>
      <c r="B16" t="s">
        <v>131</v>
      </c>
      <c r="C16" t="s">
        <v>136</v>
      </c>
      <c r="D16" t="s">
        <v>131</v>
      </c>
      <c r="E16" t="s">
        <v>26</v>
      </c>
      <c r="F16" t="s">
        <v>28</v>
      </c>
      <c r="G16" t="s">
        <v>29</v>
      </c>
      <c r="H16" s="1">
        <f>VLOOKUP($A16,'BASE PAN - CAPEX'!$A$3:$I$22,9,FALSE)+VLOOKUP($A16,'CAPEX - Manutenção_PPD'!$A$3:$C$22,3,FALSE)+VLOOKUP($A16,'CAPEX - Manutenção_PTR_Taxiway'!$A$3:$C$22,3,FALSE)+VLOOKUP($A16,'CAPEX - Manutenção_Pátio'!$A$3:$C$22,3,FALSE)+VLOOKUP($A16,'CAPEX - Navegação Aérea'!$A$3:$H$22,8,FALSE)</f>
        <v>22584443.670000002</v>
      </c>
      <c r="I16" s="1">
        <f>VLOOKUP($A16,'CAPEX - Manut._Desemborracham.'!$A$3:$C$54,3,FALSE)</f>
        <v>76970.375486450852</v>
      </c>
      <c r="J16" s="1">
        <v>0</v>
      </c>
      <c r="K16" s="1">
        <f>VLOOKUP($A16,'CAPEX - Manut._Desemborracham.'!$A$3:$D$54,4,FALSE)</f>
        <v>76970.375486450852</v>
      </c>
      <c r="L16" s="1">
        <f>VLOOKUP($A16,'CAPEX - Manutenção_PPD'!$A$3:$D$22,4,FALSE)+VLOOKUP($A16,'CAPEX - Manutenção_PTR_Taxiway'!$A$3:$D$22,4,FALSE)+VLOOKUP($A16,'CAPEX - Manutenção_Pátio'!$A$3:$D$22,4,FALSE)</f>
        <v>206408.15999999997</v>
      </c>
      <c r="M16" s="1">
        <f>VLOOKUP($A16,'CAPEX - Manut._Desemborracham.'!$A$3:$E$54,5,FALSE)</f>
        <v>76970.375486450852</v>
      </c>
      <c r="N16" s="1">
        <v>0</v>
      </c>
      <c r="O16" s="1">
        <f>VLOOKUP($A16,'CAPEX - Manutenção_PPD'!$A$3:$E$22,5,FALSE)+VLOOKUP($A16,'CAPEX - Manutenção_PTR_Taxiway'!$A$3:$E$22,5,FALSE)+VLOOKUP($A16,'CAPEX - Manutenção_Pátio'!$A$3:$E$22,5,FALSE)+VLOOKUP($A16,'CAPEX - Manut._Desemborracham.'!$A$3:$F$54,6,FALSE)</f>
        <v>283378.53548645083</v>
      </c>
      <c r="P16" s="1">
        <v>0</v>
      </c>
      <c r="Q16" s="1">
        <f>VLOOKUP($A16,'CAPEX - Manutenção_PPD'!$A$3:$F$22,6,FALSE)+VLOOKUP($A16,'CAPEX - Manutenção_PTR_Taxiway'!$A$3:$F$22,6,FALSE)+VLOOKUP($A16,'CAPEX - Manutenção_Pátio'!$A$3:$F$22,6,FALSE)+VLOOKUP($A16,'CAPEX - Manut._Desemborracham.'!$A$3:$G$54,7,FALSE)</f>
        <v>7496167.5354864514</v>
      </c>
      <c r="R16" s="1">
        <v>0</v>
      </c>
      <c r="S16" s="1">
        <f>VLOOKUP($A16,'CAPEX - Manut._Desemborracham.'!$A$3:$H$54,8,FALSE)</f>
        <v>76970.375486450852</v>
      </c>
      <c r="T16" s="1">
        <v>0</v>
      </c>
      <c r="U16" s="1">
        <f>VLOOKUP($A16,'CAPEX - Manut._Desemborracham.'!$A$3:$I$54,9,FALSE)</f>
        <v>76970.375486450852</v>
      </c>
      <c r="V16" s="1">
        <f>VLOOKUP($A16,'CAPEX - Manutenção_PPD'!$A$3:$G$22,7,FALSE)+VLOOKUP($A16,'CAPEX - Manutenção_PTR_Taxiway'!$A$3:$G$22,7,FALSE)+VLOOKUP($A16,'CAPEX - Manutenção_Pátio'!$A$3:$G$22,7,FALSE)</f>
        <v>5521344.3999999994</v>
      </c>
      <c r="W16" s="1">
        <f>VLOOKUP($A16,'CAPEX - Manut._Desemborracham.'!$A$3:$J$54,10,FALSE)</f>
        <v>76970.375486450852</v>
      </c>
      <c r="X16" s="1">
        <v>0</v>
      </c>
      <c r="Y16" s="1">
        <f>VLOOKUP($A16,'CAPEX - Manutenção_PPD'!$A$3:$H$22,8,FALSE)+VLOOKUP($A16,'CAPEX - Manutenção_PTR_Taxiway'!$A$3:$H$22,8,FALSE)+VLOOKUP($A16,'CAPEX - Manutenção_Pátio'!$A$3:$H$22,8,FALSE)+VLOOKUP($A16,'CAPEX - Manut._Desemborracham.'!$A$3:$K$54,11,FALSE)</f>
        <v>283378.53548645083</v>
      </c>
      <c r="Z16" s="1">
        <v>0</v>
      </c>
      <c r="AA16" s="1">
        <f>VLOOKUP($A16,'CAPEX - Manutenção_PPD'!$A$3:$I$22,9,FALSE)+VLOOKUP($A16,'CAPEX - Manutenção_PTR_Taxiway'!$A$3:$I$22,9,FALSE)+VLOOKUP($A16,'CAPEX - Manutenção_Pátio'!$A$3:$I$22,9,FALSE)+VLOOKUP($A16,'CAPEX - Manut._Desemborracham.'!$A$3:$L$54,12,FALSE)</f>
        <v>7496167.5354864514</v>
      </c>
      <c r="AB16" s="1">
        <v>0</v>
      </c>
      <c r="AC16" s="1">
        <f>VLOOKUP($A16,'CAPEX - Manut._Desemborracham.'!$A$3:$M$54,13,FALSE)</f>
        <v>76970.375486450852</v>
      </c>
      <c r="AD16" s="1">
        <v>0</v>
      </c>
      <c r="AE16" s="1">
        <f>VLOOKUP($A16,'CAPEX - Manut._Desemborracham.'!$A$3:$N$54,14,FALSE)</f>
        <v>76970.375486450852</v>
      </c>
      <c r="AF16" s="1">
        <f>VLOOKUP($A16,'CAPEX - Manutenção_PPD'!$A$3:$J$22,10,FALSE)+VLOOKUP($A16,'CAPEX - Manutenção_PTR_Taxiway'!$A$3:$J$22,10,FALSE)+VLOOKUP($A16,'CAPEX - Manutenção_Pátio'!$A$3:$J$22,10,FALSE)</f>
        <v>206408.15999999997</v>
      </c>
      <c r="AG16" s="1">
        <f>VLOOKUP($A16,'CAPEX - Manut._Desemborracham.'!$A$3:$O$54,15,FALSE)</f>
        <v>76970.375486450852</v>
      </c>
      <c r="AH16" s="1">
        <v>0</v>
      </c>
      <c r="AI16" s="1">
        <f>VLOOKUP($A16,'CAPEX - Manutenção_PPD'!$A$3:$K$22,11,FALSE)+VLOOKUP($A16,'CAPEX - Manutenção_PTR_Taxiway'!$A$3:$K$22,11,FALSE)+VLOOKUP($A16,'CAPEX - Manutenção_Pátio'!$A$3:$K$22,11,FALSE)+VLOOKUP($A16,'CAPEX - Manut._Desemborracham.'!$A$3:$P$54,16,FALSE)</f>
        <v>283378.53548645083</v>
      </c>
      <c r="AJ16" s="1">
        <v>0</v>
      </c>
      <c r="AK16" s="1">
        <f>VLOOKUP($A16,'CAPEX - Manut._Desemborracham.'!$A$3:$Q$54,17,FALSE)</f>
        <v>76970.375486450852</v>
      </c>
      <c r="AL16" s="1">
        <v>0</v>
      </c>
      <c r="AM16" s="1">
        <f t="shared" si="0"/>
        <v>45130778.822296761</v>
      </c>
      <c r="AN16" s="3">
        <f>VLOOKUP($A16,'BASE PAN - CAPEX'!$A$3:$H$22,8,FALSE)</f>
        <v>3</v>
      </c>
      <c r="AO16" s="3">
        <v>3</v>
      </c>
      <c r="AP16" s="3" t="s">
        <v>97</v>
      </c>
      <c r="AQ16" s="3" t="s">
        <v>97</v>
      </c>
      <c r="AR16" s="3" t="s">
        <v>97</v>
      </c>
      <c r="AS16" s="3" t="s">
        <v>97</v>
      </c>
      <c r="AT16" s="3" t="s">
        <v>97</v>
      </c>
      <c r="AU16" s="3" t="s">
        <v>97</v>
      </c>
    </row>
    <row r="17" spans="1:47" x14ac:dyDescent="0.25">
      <c r="A17" t="s">
        <v>91</v>
      </c>
      <c r="B17" t="str">
        <f>VLOOKUP(A17,'BASE PAN - CAPEX'!$A$3:$B$22,2,FALSE)</f>
        <v>PORTO ALEGRE DO NORTE</v>
      </c>
      <c r="C17" t="s">
        <v>137</v>
      </c>
      <c r="D17" t="str">
        <f>VLOOKUP(A17,'BASE PAN - CAPEX'!$A$3:$E$22,4,FALSE)</f>
        <v>Porto Alegre do Norte</v>
      </c>
      <c r="E17" t="s">
        <v>32</v>
      </c>
      <c r="F17" t="s">
        <v>28</v>
      </c>
      <c r="G17" t="s">
        <v>29</v>
      </c>
      <c r="H17" s="1">
        <f>VLOOKUP($A17,'BASE PAN - CAPEX'!$A$3:$I$22,9,FALSE)+VLOOKUP($A17,'CAPEX - Manutenção_PPD'!$A$3:$C$22,3,FALSE)+VLOOKUP($A17,'CAPEX - Manutenção_PTR_Taxiway'!$A$3:$C$22,3,FALSE)+VLOOKUP($A17,'CAPEX - Manutenção_Pátio'!$A$3:$C$22,3,FALSE)+VLOOKUP($A17,'CAPEX - Navegação Aérea'!$A$3:$H$22,8,FALSE)</f>
        <v>11777610.710000001</v>
      </c>
      <c r="I17" s="1">
        <f>VLOOKUP($A17,'CAPEX - Manut._Desemborracham.'!$A$3:$C$54,3,FALSE)</f>
        <v>0</v>
      </c>
      <c r="J17" s="1">
        <v>0</v>
      </c>
      <c r="K17" s="1">
        <f>VLOOKUP($A17,'CAPEX - Manut._Desemborracham.'!$A$3:$D$54,4,FALSE)</f>
        <v>0</v>
      </c>
      <c r="L17" s="1">
        <f>VLOOKUP($A17,'CAPEX - Manutenção_PPD'!$A$3:$D$22,4,FALSE)+VLOOKUP($A17,'CAPEX - Manutenção_PTR_Taxiway'!$A$3:$D$22,4,FALSE)+VLOOKUP($A17,'CAPEX - Manutenção_Pátio'!$A$3:$D$22,4,FALSE)</f>
        <v>81241.56</v>
      </c>
      <c r="M17" s="1">
        <f>VLOOKUP($A17,'CAPEX - Manut._Desemborracham.'!$A$3:$E$54,5,FALSE)</f>
        <v>0</v>
      </c>
      <c r="N17" s="1">
        <v>0</v>
      </c>
      <c r="O17" s="1">
        <f>VLOOKUP($A17,'CAPEX - Manutenção_PPD'!$A$3:$E$22,5,FALSE)+VLOOKUP($A17,'CAPEX - Manutenção_PTR_Taxiway'!$A$3:$E$22,5,FALSE)+VLOOKUP($A17,'CAPEX - Manutenção_Pátio'!$A$3:$E$22,5,FALSE)+VLOOKUP($A17,'CAPEX - Manut._Desemborracham.'!$A$3:$F$54,6,FALSE)</f>
        <v>81241.56</v>
      </c>
      <c r="P17" s="1">
        <v>0</v>
      </c>
      <c r="Q17" s="1">
        <f>VLOOKUP($A17,'CAPEX - Manutenção_PPD'!$A$3:$F$22,6,FALSE)+VLOOKUP($A17,'CAPEX - Manutenção_PTR_Taxiway'!$A$3:$F$22,6,FALSE)+VLOOKUP($A17,'CAPEX - Manutenção_Pátio'!$A$3:$F$22,6,FALSE)+VLOOKUP($A17,'CAPEX - Manut._Desemborracham.'!$A$3:$G$54,7,FALSE)</f>
        <v>3749720.46</v>
      </c>
      <c r="R17" s="1">
        <v>0</v>
      </c>
      <c r="S17" s="1">
        <f>VLOOKUP($A17,'CAPEX - Manut._Desemborracham.'!$A$3:$H$54,8,FALSE)</f>
        <v>0</v>
      </c>
      <c r="T17" s="1">
        <v>0</v>
      </c>
      <c r="U17" s="1">
        <f>VLOOKUP($A17,'CAPEX - Manut._Desemborracham.'!$A$3:$I$54,9,FALSE)</f>
        <v>0</v>
      </c>
      <c r="V17" s="1">
        <f>VLOOKUP($A17,'CAPEX - Manutenção_PPD'!$A$3:$G$22,7,FALSE)+VLOOKUP($A17,'CAPEX - Manutenção_PTR_Taxiway'!$A$3:$G$22,7,FALSE)+VLOOKUP($A17,'CAPEX - Manutenção_Pátio'!$A$3:$G$22,7,FALSE)</f>
        <v>1938813.98</v>
      </c>
      <c r="W17" s="1">
        <f>VLOOKUP($A17,'CAPEX - Manut._Desemborracham.'!$A$3:$J$54,10,FALSE)</f>
        <v>0</v>
      </c>
      <c r="X17" s="1">
        <v>0</v>
      </c>
      <c r="Y17" s="1">
        <f>VLOOKUP($A17,'CAPEX - Manutenção_PPD'!$A$3:$H$22,8,FALSE)+VLOOKUP($A17,'CAPEX - Manutenção_PTR_Taxiway'!$A$3:$H$22,8,FALSE)+VLOOKUP($A17,'CAPEX - Manutenção_Pátio'!$A$3:$H$22,8,FALSE)+VLOOKUP($A17,'CAPEX - Manut._Desemborracham.'!$A$3:$K$54,11,FALSE)</f>
        <v>81241.56</v>
      </c>
      <c r="Z17" s="1">
        <v>0</v>
      </c>
      <c r="AA17" s="1">
        <f>VLOOKUP($A17,'CAPEX - Manutenção_PPD'!$A$3:$I$22,9,FALSE)+VLOOKUP($A17,'CAPEX - Manutenção_PTR_Taxiway'!$A$3:$I$22,9,FALSE)+VLOOKUP($A17,'CAPEX - Manutenção_Pátio'!$A$3:$I$22,9,FALSE)+VLOOKUP($A17,'CAPEX - Manut._Desemborracham.'!$A$3:$L$54,12,FALSE)</f>
        <v>3749720.46</v>
      </c>
      <c r="AB17" s="1">
        <v>0</v>
      </c>
      <c r="AC17" s="1">
        <f>VLOOKUP($A17,'CAPEX - Manut._Desemborracham.'!$A$3:$M$54,13,FALSE)</f>
        <v>0</v>
      </c>
      <c r="AD17" s="1">
        <v>0</v>
      </c>
      <c r="AE17" s="1">
        <f>VLOOKUP($A17,'CAPEX - Manut._Desemborracham.'!$A$3:$N$54,14,FALSE)</f>
        <v>0</v>
      </c>
      <c r="AF17" s="1">
        <f>VLOOKUP($A17,'CAPEX - Manutenção_PPD'!$A$3:$J$22,10,FALSE)+VLOOKUP($A17,'CAPEX - Manutenção_PTR_Taxiway'!$A$3:$J$22,10,FALSE)+VLOOKUP($A17,'CAPEX - Manutenção_Pátio'!$A$3:$J$22,10,FALSE)</f>
        <v>81241.56</v>
      </c>
      <c r="AG17" s="1">
        <f>VLOOKUP($A17,'CAPEX - Manut._Desemborracham.'!$A$3:$O$54,15,FALSE)</f>
        <v>0</v>
      </c>
      <c r="AH17" s="1">
        <v>0</v>
      </c>
      <c r="AI17" s="1">
        <f>VLOOKUP($A17,'CAPEX - Manutenção_PPD'!$A$3:$K$22,11,FALSE)+VLOOKUP($A17,'CAPEX - Manutenção_PTR_Taxiway'!$A$3:$K$22,11,FALSE)+VLOOKUP($A17,'CAPEX - Manutenção_Pátio'!$A$3:$K$22,11,FALSE)+VLOOKUP($A17,'CAPEX - Manut._Desemborracham.'!$A$3:$P$54,16,FALSE)</f>
        <v>81241.56</v>
      </c>
      <c r="AJ17" s="1">
        <v>0</v>
      </c>
      <c r="AK17" s="1">
        <f>VLOOKUP($A17,'CAPEX - Manut._Desemborracham.'!$A$3:$Q$54,17,FALSE)</f>
        <v>0</v>
      </c>
      <c r="AL17" s="1">
        <v>0</v>
      </c>
      <c r="AM17" s="1">
        <f t="shared" si="0"/>
        <v>21622073.41</v>
      </c>
      <c r="AN17" s="3">
        <f>VLOOKUP($A17,'BASE PAN - CAPEX'!$A$3:$H$22,8,FALSE)</f>
        <v>0</v>
      </c>
      <c r="AO17" s="3" t="s">
        <v>97</v>
      </c>
      <c r="AP17" s="3" t="s">
        <v>97</v>
      </c>
      <c r="AQ17" s="3" t="s">
        <v>97</v>
      </c>
      <c r="AR17" s="3" t="s">
        <v>97</v>
      </c>
      <c r="AS17" s="3" t="s">
        <v>97</v>
      </c>
      <c r="AT17" s="3" t="s">
        <v>97</v>
      </c>
      <c r="AU17" s="3" t="s">
        <v>97</v>
      </c>
    </row>
    <row r="18" spans="1:47" s="17" customFormat="1" x14ac:dyDescent="0.25">
      <c r="A18" s="17" t="s">
        <v>154</v>
      </c>
      <c r="B18" s="30" t="s">
        <v>155</v>
      </c>
      <c r="C18" s="17" t="s">
        <v>156</v>
      </c>
      <c r="D18" s="17" t="s">
        <v>155</v>
      </c>
      <c r="E18" s="17" t="s">
        <v>31</v>
      </c>
      <c r="F18" s="17" t="s">
        <v>28</v>
      </c>
      <c r="G18" s="17" t="s">
        <v>29</v>
      </c>
      <c r="H18" s="1">
        <f>VLOOKUP($A18,'BASE PAN - CAPEX'!$A$3:$I$22,9,FALSE)+VLOOKUP($A18,'CAPEX - Manutenção_PPD'!$A$3:$C$22,3,FALSE)+VLOOKUP($A18,'CAPEX - Manutenção_PTR_Taxiway'!$A$3:$C$22,3,FALSE)+VLOOKUP($A18,'CAPEX - Manutenção_Pátio'!$A$3:$C$22,3,FALSE)+VLOOKUP($A18,'CAPEX - Navegação Aérea'!$A$3:$H$22,8,FALSE)</f>
        <v>8207459.1700000009</v>
      </c>
      <c r="I18" s="1">
        <f>VLOOKUP($A18,'CAPEX - Manut._Desemborracham.'!$A$3:$C$54,3,FALSE)</f>
        <v>0</v>
      </c>
      <c r="J18" s="1">
        <v>0</v>
      </c>
      <c r="K18" s="1">
        <f>VLOOKUP($A18,'CAPEX - Manut._Desemborracham.'!$A$3:$D$54,4,FALSE)</f>
        <v>0</v>
      </c>
      <c r="L18" s="1">
        <f>VLOOKUP($A18,'CAPEX - Manutenção_PPD'!$A$3:$D$22,4,FALSE)+VLOOKUP($A18,'CAPEX - Manutenção_PTR_Taxiway'!$A$3:$D$22,4,FALSE)+VLOOKUP($A18,'CAPEX - Manutenção_Pátio'!$A$3:$D$22,4,FALSE)</f>
        <v>68451.08</v>
      </c>
      <c r="M18" s="1">
        <f>VLOOKUP($A18,'CAPEX - Manut._Desemborracham.'!$A$3:$E$54,5,FALSE)</f>
        <v>0</v>
      </c>
      <c r="N18" s="1">
        <v>0</v>
      </c>
      <c r="O18" s="1">
        <f>VLOOKUP($A18,'CAPEX - Manutenção_PPD'!$A$3:$E$22,5,FALSE)+VLOOKUP($A18,'CAPEX - Manutenção_PTR_Taxiway'!$A$3:$E$22,5,FALSE)+VLOOKUP($A18,'CAPEX - Manutenção_Pátio'!$A$3:$E$22,5,FALSE)+VLOOKUP($A18,'CAPEX - Manut._Desemborracham.'!$A$3:$F$54,6,FALSE)</f>
        <v>68451.08</v>
      </c>
      <c r="P18" s="1">
        <v>0</v>
      </c>
      <c r="Q18" s="1">
        <f>VLOOKUP($A18,'CAPEX - Manutenção_PPD'!$A$3:$F$22,6,FALSE)+VLOOKUP($A18,'CAPEX - Manutenção_PTR_Taxiway'!$A$3:$F$22,6,FALSE)+VLOOKUP($A18,'CAPEX - Manutenção_Pátio'!$A$3:$F$22,6,FALSE)+VLOOKUP($A18,'CAPEX - Manut._Desemborracham.'!$A$3:$G$54,7,FALSE)</f>
        <v>3843938.1199999996</v>
      </c>
      <c r="R18" s="1">
        <v>0</v>
      </c>
      <c r="S18" s="1">
        <f>VLOOKUP($A18,'CAPEX - Manut._Desemborracham.'!$A$3:$H$54,8,FALSE)</f>
        <v>0</v>
      </c>
      <c r="T18" s="1">
        <v>0</v>
      </c>
      <c r="U18" s="1">
        <f>VLOOKUP($A18,'CAPEX - Manut._Desemborracham.'!$A$3:$I$54,9,FALSE)</f>
        <v>0</v>
      </c>
      <c r="V18" s="1">
        <f>VLOOKUP($A18,'CAPEX - Manutenção_PPD'!$A$3:$G$22,7,FALSE)+VLOOKUP($A18,'CAPEX - Manutenção_PTR_Taxiway'!$A$3:$G$22,7,FALSE)+VLOOKUP($A18,'CAPEX - Manutenção_Pátio'!$A$3:$G$22,7,FALSE)</f>
        <v>1911972.13</v>
      </c>
      <c r="W18" s="1">
        <f>VLOOKUP($A18,'CAPEX - Manut._Desemborracham.'!$A$3:$J$54,10,FALSE)</f>
        <v>0</v>
      </c>
      <c r="X18" s="1">
        <v>0</v>
      </c>
      <c r="Y18" s="1">
        <f>VLOOKUP($A18,'CAPEX - Manutenção_PPD'!$A$3:$H$22,8,FALSE)+VLOOKUP($A18,'CAPEX - Manutenção_PTR_Taxiway'!$A$3:$H$22,8,FALSE)+VLOOKUP($A18,'CAPEX - Manutenção_Pátio'!$A$3:$H$22,8,FALSE)+VLOOKUP($A18,'CAPEX - Manut._Desemborracham.'!$A$3:$K$54,11,FALSE)</f>
        <v>68451.08</v>
      </c>
      <c r="Z18" s="1">
        <v>0</v>
      </c>
      <c r="AA18" s="1">
        <f>VLOOKUP($A18,'CAPEX - Manutenção_PPD'!$A$3:$I$22,9,FALSE)+VLOOKUP($A18,'CAPEX - Manutenção_PTR_Taxiway'!$A$3:$I$22,9,FALSE)+VLOOKUP($A18,'CAPEX - Manutenção_Pátio'!$A$3:$I$22,9,FALSE)+VLOOKUP($A18,'CAPEX - Manut._Desemborracham.'!$A$3:$L$54,12,FALSE)</f>
        <v>3843938.1199999996</v>
      </c>
      <c r="AB18" s="1">
        <v>0</v>
      </c>
      <c r="AC18" s="1">
        <f>VLOOKUP($A18,'CAPEX - Manut._Desemborracham.'!$A$3:$M$54,13,FALSE)</f>
        <v>0</v>
      </c>
      <c r="AD18" s="1">
        <v>0</v>
      </c>
      <c r="AE18" s="1">
        <f>VLOOKUP($A18,'CAPEX - Manut._Desemborracham.'!$A$3:$N$54,14,FALSE)</f>
        <v>0</v>
      </c>
      <c r="AF18" s="1">
        <f>VLOOKUP($A18,'CAPEX - Manutenção_PPD'!$A$3:$J$22,10,FALSE)+VLOOKUP($A18,'CAPEX - Manutenção_PTR_Taxiway'!$A$3:$J$22,10,FALSE)+VLOOKUP($A18,'CAPEX - Manutenção_Pátio'!$A$3:$J$22,10,FALSE)</f>
        <v>68451.08</v>
      </c>
      <c r="AG18" s="1">
        <f>VLOOKUP($A18,'CAPEX - Manut._Desemborracham.'!$A$3:$O$54,15,FALSE)</f>
        <v>0</v>
      </c>
      <c r="AH18" s="1">
        <v>0</v>
      </c>
      <c r="AI18" s="1">
        <f>VLOOKUP($A18,'CAPEX - Manutenção_PPD'!$A$3:$K$22,11,FALSE)+VLOOKUP($A18,'CAPEX - Manutenção_PTR_Taxiway'!$A$3:$K$22,11,FALSE)+VLOOKUP($A18,'CAPEX - Manutenção_Pátio'!$A$3:$K$22,11,FALSE)+VLOOKUP($A18,'CAPEX - Manut._Desemborracham.'!$A$3:$P$54,16,FALSE)</f>
        <v>68451.08</v>
      </c>
      <c r="AJ18" s="1">
        <v>0</v>
      </c>
      <c r="AK18" s="1">
        <f>VLOOKUP($A18,'CAPEX - Manut._Desemborracham.'!$A$3:$Q$54,17,FALSE)</f>
        <v>0</v>
      </c>
      <c r="AL18" s="1">
        <v>0</v>
      </c>
      <c r="AM18" s="28">
        <f t="shared" ref="AM18" si="1">SUM(H18:AL18)</f>
        <v>18149562.939999998</v>
      </c>
      <c r="AN18" s="3">
        <f>VLOOKUP($A18,'BASE PAN - CAPEX'!$A$3:$H$22,8,FALSE)</f>
        <v>0</v>
      </c>
      <c r="AO18" s="29" t="s">
        <v>97</v>
      </c>
      <c r="AP18" s="29" t="s">
        <v>97</v>
      </c>
      <c r="AQ18" s="29" t="s">
        <v>97</v>
      </c>
      <c r="AR18" s="29" t="s">
        <v>97</v>
      </c>
      <c r="AS18" s="29" t="s">
        <v>97</v>
      </c>
      <c r="AT18" s="29" t="s">
        <v>97</v>
      </c>
      <c r="AU18" s="29" t="s">
        <v>97</v>
      </c>
    </row>
    <row r="19" spans="1:47" s="17" customFormat="1" x14ac:dyDescent="0.25">
      <c r="A19" s="17" t="s">
        <v>157</v>
      </c>
      <c r="B19" s="17" t="s">
        <v>158</v>
      </c>
      <c r="C19" s="17" t="s">
        <v>159</v>
      </c>
      <c r="D19" s="17" t="s">
        <v>158</v>
      </c>
      <c r="E19" s="17" t="s">
        <v>31</v>
      </c>
      <c r="F19" s="17" t="s">
        <v>28</v>
      </c>
      <c r="G19" s="17" t="s">
        <v>29</v>
      </c>
      <c r="H19" s="1">
        <f>VLOOKUP($A19,'BASE PAN - CAPEX'!$A$3:$I$22,9,FALSE)+VLOOKUP($A19,'CAPEX - Manutenção_PPD'!$A$3:$C$22,3,FALSE)+VLOOKUP($A19,'CAPEX - Manutenção_PTR_Taxiway'!$A$3:$C$22,3,FALSE)+VLOOKUP($A19,'CAPEX - Manutenção_Pátio'!$A$3:$C$22,3,FALSE)+VLOOKUP($A19,'CAPEX - Navegação Aérea'!$A$3:$H$22,8,FALSE)</f>
        <v>9541874.4299999997</v>
      </c>
      <c r="I19" s="1">
        <f>VLOOKUP($A19,'CAPEX - Manut._Desemborracham.'!$A$3:$C$54,3,FALSE)</f>
        <v>0</v>
      </c>
      <c r="J19" s="1">
        <v>0</v>
      </c>
      <c r="K19" s="1">
        <f>VLOOKUP($A19,'CAPEX - Manut._Desemborracham.'!$A$3:$D$54,4,FALSE)</f>
        <v>0</v>
      </c>
      <c r="L19" s="1">
        <f>VLOOKUP($A19,'CAPEX - Manutenção_PPD'!$A$3:$D$22,4,FALSE)+VLOOKUP($A19,'CAPEX - Manutenção_PTR_Taxiway'!$A$3:$D$22,4,FALSE)+VLOOKUP($A19,'CAPEX - Manutenção_Pátio'!$A$3:$D$22,4,FALSE)</f>
        <v>62823</v>
      </c>
      <c r="M19" s="1">
        <f>VLOOKUP($A19,'CAPEX - Manut._Desemborracham.'!$A$3:$E$54,5,FALSE)</f>
        <v>0</v>
      </c>
      <c r="N19" s="1">
        <v>0</v>
      </c>
      <c r="O19" s="1">
        <f>VLOOKUP($A19,'CAPEX - Manutenção_PPD'!$A$3:$E$22,5,FALSE)+VLOOKUP($A19,'CAPEX - Manutenção_PTR_Taxiway'!$A$3:$E$22,5,FALSE)+VLOOKUP($A19,'CAPEX - Manutenção_Pátio'!$A$3:$E$22,5,FALSE)+VLOOKUP($A19,'CAPEX - Manut._Desemborracham.'!$A$3:$F$54,6,FALSE)</f>
        <v>62823</v>
      </c>
      <c r="P19" s="1">
        <v>0</v>
      </c>
      <c r="Q19" s="1">
        <f>VLOOKUP($A19,'CAPEX - Manutenção_PPD'!$A$3:$F$22,6,FALSE)+VLOOKUP($A19,'CAPEX - Manutenção_PTR_Taxiway'!$A$3:$F$22,6,FALSE)+VLOOKUP($A19,'CAPEX - Manutenção_Pátio'!$A$3:$F$22,6,FALSE)+VLOOKUP($A19,'CAPEX - Manut._Desemborracham.'!$A$3:$G$54,7,FALSE)</f>
        <v>4085952.31</v>
      </c>
      <c r="R19" s="1">
        <v>0</v>
      </c>
      <c r="S19" s="1">
        <f>VLOOKUP($A19,'CAPEX - Manut._Desemborracham.'!$A$3:$H$54,8,FALSE)</f>
        <v>0</v>
      </c>
      <c r="T19" s="1">
        <v>0</v>
      </c>
      <c r="U19" s="1">
        <f>VLOOKUP($A19,'CAPEX - Manut._Desemborracham.'!$A$3:$I$54,9,FALSE)</f>
        <v>0</v>
      </c>
      <c r="V19" s="1">
        <f>VLOOKUP($A19,'CAPEX - Manutenção_PPD'!$A$3:$G$22,7,FALSE)+VLOOKUP($A19,'CAPEX - Manutenção_PTR_Taxiway'!$A$3:$G$22,7,FALSE)+VLOOKUP($A19,'CAPEX - Manutenção_Pátio'!$A$3:$G$22,7,FALSE)</f>
        <v>1632888.42</v>
      </c>
      <c r="W19" s="1">
        <f>VLOOKUP($A19,'CAPEX - Manut._Desemborracham.'!$A$3:$J$54,10,FALSE)</f>
        <v>0</v>
      </c>
      <c r="X19" s="1">
        <v>0</v>
      </c>
      <c r="Y19" s="1">
        <f>VLOOKUP($A19,'CAPEX - Manutenção_PPD'!$A$3:$H$22,8,FALSE)+VLOOKUP($A19,'CAPEX - Manutenção_PTR_Taxiway'!$A$3:$H$22,8,FALSE)+VLOOKUP($A19,'CAPEX - Manutenção_Pátio'!$A$3:$H$22,8,FALSE)+VLOOKUP($A19,'CAPEX - Manut._Desemborracham.'!$A$3:$K$54,11,FALSE)</f>
        <v>62823</v>
      </c>
      <c r="Z19" s="1">
        <v>0</v>
      </c>
      <c r="AA19" s="1">
        <f>VLOOKUP($A19,'CAPEX - Manutenção_PPD'!$A$3:$I$22,9,FALSE)+VLOOKUP($A19,'CAPEX - Manutenção_PTR_Taxiway'!$A$3:$I$22,9,FALSE)+VLOOKUP($A19,'CAPEX - Manutenção_Pátio'!$A$3:$I$22,9,FALSE)+VLOOKUP($A19,'CAPEX - Manut._Desemborracham.'!$A$3:$L$54,12,FALSE)</f>
        <v>4085952.31</v>
      </c>
      <c r="AB19" s="1">
        <v>0</v>
      </c>
      <c r="AC19" s="1">
        <f>VLOOKUP($A19,'CAPEX - Manut._Desemborracham.'!$A$3:$M$54,13,FALSE)</f>
        <v>0</v>
      </c>
      <c r="AD19" s="1">
        <v>0</v>
      </c>
      <c r="AE19" s="1">
        <f>VLOOKUP($A19,'CAPEX - Manut._Desemborracham.'!$A$3:$N$54,14,FALSE)</f>
        <v>0</v>
      </c>
      <c r="AF19" s="1">
        <f>VLOOKUP($A19,'CAPEX - Manutenção_PPD'!$A$3:$J$22,10,FALSE)+VLOOKUP($A19,'CAPEX - Manutenção_PTR_Taxiway'!$A$3:$J$22,10,FALSE)+VLOOKUP($A19,'CAPEX - Manutenção_Pátio'!$A$3:$J$22,10,FALSE)</f>
        <v>62823</v>
      </c>
      <c r="AG19" s="1">
        <f>VLOOKUP($A19,'CAPEX - Manut._Desemborracham.'!$A$3:$O$54,15,FALSE)</f>
        <v>0</v>
      </c>
      <c r="AH19" s="1">
        <v>0</v>
      </c>
      <c r="AI19" s="1">
        <f>VLOOKUP($A19,'CAPEX - Manutenção_PPD'!$A$3:$K$22,11,FALSE)+VLOOKUP($A19,'CAPEX - Manutenção_PTR_Taxiway'!$A$3:$K$22,11,FALSE)+VLOOKUP($A19,'CAPEX - Manutenção_Pátio'!$A$3:$K$22,11,FALSE)+VLOOKUP($A19,'CAPEX - Manut._Desemborracham.'!$A$3:$P$54,16,FALSE)</f>
        <v>62823</v>
      </c>
      <c r="AJ19" s="1">
        <v>0</v>
      </c>
      <c r="AK19" s="1">
        <f>VLOOKUP($A19,'CAPEX - Manut._Desemborracham.'!$A$3:$Q$54,17,FALSE)</f>
        <v>0</v>
      </c>
      <c r="AL19" s="1">
        <v>0</v>
      </c>
      <c r="AM19" s="28">
        <f t="shared" ref="AM19" si="2">SUM(H19:AL19)</f>
        <v>19660782.469999999</v>
      </c>
      <c r="AN19" s="3">
        <f>VLOOKUP($A19,'BASE PAN - CAPEX'!$A$3:$H$22,8,FALSE)</f>
        <v>0</v>
      </c>
      <c r="AO19" s="29" t="s">
        <v>97</v>
      </c>
      <c r="AP19" s="29" t="s">
        <v>97</v>
      </c>
      <c r="AQ19" s="29" t="s">
        <v>97</v>
      </c>
      <c r="AR19" s="29" t="s">
        <v>97</v>
      </c>
      <c r="AS19" s="29" t="s">
        <v>97</v>
      </c>
      <c r="AT19" s="29" t="s">
        <v>97</v>
      </c>
      <c r="AU19" s="29" t="s">
        <v>97</v>
      </c>
    </row>
    <row r="20" spans="1:47" s="17" customFormat="1" x14ac:dyDescent="0.25">
      <c r="A20" s="17" t="s">
        <v>317</v>
      </c>
      <c r="B20" s="30" t="str">
        <f>VLOOKUP(A20,'CAPEX - Navegação Aérea'!$A$3:$B$22,2,FALSE)</f>
        <v>COMANDANTE ARISTON PESSOA</v>
      </c>
      <c r="C20" s="17" t="str">
        <f>VLOOKUP(A20,'[10]FLUXO DE CAIXA DESC.-BLOCOS PAN'!$A$3:$D$251,4,FALSE)</f>
        <v>SNAT230110</v>
      </c>
      <c r="D20" s="17" t="s">
        <v>318</v>
      </c>
      <c r="E20" s="17" t="s">
        <v>319</v>
      </c>
      <c r="F20" s="17" t="s">
        <v>28</v>
      </c>
      <c r="G20" s="17" t="s">
        <v>29</v>
      </c>
      <c r="H20" s="28">
        <f>VLOOKUP($A20,'BASE PAN - CAPEX'!$A$3:$I$22,9,FALSE)+VLOOKUP($A20,'CAPEX - Manutenção_PPD'!$A$3:$C$22,3,FALSE)+VLOOKUP($A20,'CAPEX - Manutenção_PTR_Taxiway'!$A$3:$C$22,3,FALSE)+VLOOKUP($A20,'CAPEX - Manutenção_Pátio'!$A$3:$C$22,3,FALSE)+VLOOKUP($A20,'CAPEX - Navegação Aérea'!$A$3:$H$22,8,FALSE)</f>
        <v>10185000</v>
      </c>
      <c r="I20" s="28">
        <f>VLOOKUP($A20,'CAPEX - Manut._Desemborracham.'!$A$3:$C$54,3,FALSE)</f>
        <v>60943.086045549135</v>
      </c>
      <c r="J20" s="28">
        <v>0</v>
      </c>
      <c r="K20" s="28">
        <f>VLOOKUP($A20,'CAPEX - Manut._Desemborracham.'!$A$3:$D$54,4,FALSE)</f>
        <v>60943.086045549135</v>
      </c>
      <c r="L20" s="28">
        <f>VLOOKUP($A20,'CAPEX - Manutenção_PPD'!$A$3:$D$22,4,FALSE)+VLOOKUP($A20,'CAPEX - Manutenção_PTR_Taxiway'!$A$3:$D$22,4,FALSE)+VLOOKUP($A20,'CAPEX - Manutenção_Pátio'!$A$3:$D$22,4,FALSE)</f>
        <v>242067.46000000002</v>
      </c>
      <c r="M20" s="28">
        <f>VLOOKUP($A20,'CAPEX - Manut._Desemborracham.'!$A$3:$E$54,5,FALSE)</f>
        <v>60943.086045549135</v>
      </c>
      <c r="N20" s="28">
        <v>0</v>
      </c>
      <c r="O20" s="28">
        <f>VLOOKUP($A20,'CAPEX - Manutenção_PPD'!$A$3:$E$22,5,FALSE)+VLOOKUP($A20,'CAPEX - Manutenção_PTR_Taxiway'!$A$3:$E$22,5,FALSE)+VLOOKUP($A20,'CAPEX - Manutenção_Pátio'!$A$3:$E$22,5,FALSE)+VLOOKUP($A20,'CAPEX - Manut._Desemborracham.'!$A$3:$F$54,6,FALSE)</f>
        <v>303010.54604554916</v>
      </c>
      <c r="P20" s="28">
        <v>0</v>
      </c>
      <c r="Q20" s="28">
        <f>VLOOKUP($A20,'CAPEX - Manutenção_PPD'!$A$3:$F$22,6,FALSE)+VLOOKUP($A20,'CAPEX - Manutenção_PTR_Taxiway'!$A$3:$F$22,6,FALSE)+VLOOKUP($A20,'CAPEX - Manutenção_Pátio'!$A$3:$F$22,6,FALSE)+VLOOKUP($A20,'CAPEX - Manut._Desemborracham.'!$A$3:$G$54,7,FALSE)</f>
        <v>8356494.2360455487</v>
      </c>
      <c r="R20" s="28">
        <v>0</v>
      </c>
      <c r="S20" s="28">
        <f>VLOOKUP($A20,'CAPEX - Manut._Desemborracham.'!$A$3:$H$54,8,FALSE)</f>
        <v>60943.086045549135</v>
      </c>
      <c r="T20" s="28">
        <v>0</v>
      </c>
      <c r="U20" s="28">
        <f>VLOOKUP($A20,'CAPEX - Manut._Desemborracham.'!$A$3:$I$54,9,FALSE)</f>
        <v>60943.086045549135</v>
      </c>
      <c r="V20" s="28">
        <f>VLOOKUP($A20,'CAPEX - Manutenção_PPD'!$A$3:$G$22,7,FALSE)+VLOOKUP($A20,'CAPEX - Manutenção_PTR_Taxiway'!$A$3:$G$22,7,FALSE)+VLOOKUP($A20,'CAPEX - Manutenção_Pátio'!$A$3:$G$22,7,FALSE)</f>
        <v>8087636.6100000003</v>
      </c>
      <c r="W20" s="28">
        <f>VLOOKUP($A20,'CAPEX - Manut._Desemborracham.'!$A$3:$J$54,10,FALSE)</f>
        <v>60943.086045549135</v>
      </c>
      <c r="X20" s="28">
        <v>0</v>
      </c>
      <c r="Y20" s="28">
        <f>VLOOKUP($A20,'CAPEX - Manutenção_PPD'!$A$3:$H$22,8,FALSE)+VLOOKUP($A20,'CAPEX - Manutenção_PTR_Taxiway'!$A$3:$H$22,8,FALSE)+VLOOKUP($A20,'CAPEX - Manutenção_Pátio'!$A$3:$H$22,8,FALSE)+VLOOKUP($A20,'CAPEX - Manut._Desemborracham.'!$A$3:$K$54,11,FALSE)</f>
        <v>303010.54604554916</v>
      </c>
      <c r="Z20" s="28">
        <v>0</v>
      </c>
      <c r="AA20" s="28">
        <f>VLOOKUP($A20,'CAPEX - Manutenção_PPD'!$A$3:$I$22,9,FALSE)+VLOOKUP($A20,'CAPEX - Manutenção_PTR_Taxiway'!$A$3:$I$22,9,FALSE)+VLOOKUP($A20,'CAPEX - Manutenção_Pátio'!$A$3:$I$22,9,FALSE)+VLOOKUP($A20,'CAPEX - Manut._Desemborracham.'!$A$3:$L$54,12,FALSE)</f>
        <v>8356494.2360455487</v>
      </c>
      <c r="AB20" s="28">
        <v>0</v>
      </c>
      <c r="AC20" s="28">
        <f>VLOOKUP($A20,'CAPEX - Manut._Desemborracham.'!$A$3:$M$54,13,FALSE)</f>
        <v>60943.086045549135</v>
      </c>
      <c r="AD20" s="28">
        <v>0</v>
      </c>
      <c r="AE20" s="28">
        <f>VLOOKUP($A20,'CAPEX - Manut._Desemborracham.'!$A$3:$N$54,14,FALSE)</f>
        <v>60943.086045549135</v>
      </c>
      <c r="AF20" s="28">
        <f>VLOOKUP($A20,'CAPEX - Manutenção_PPD'!$A$3:$J$22,10,FALSE)+VLOOKUP($A20,'CAPEX - Manutenção_PTR_Taxiway'!$A$3:$J$22,10,FALSE)+VLOOKUP($A20,'CAPEX - Manutenção_Pátio'!$A$3:$J$22,10,FALSE)</f>
        <v>242067.46000000002</v>
      </c>
      <c r="AG20" s="28">
        <f>VLOOKUP($A20,'CAPEX - Manut._Desemborracham.'!$A$3:$O$54,15,FALSE)</f>
        <v>60943.086045549135</v>
      </c>
      <c r="AH20" s="28">
        <v>0</v>
      </c>
      <c r="AI20" s="28">
        <f>VLOOKUP($A20,'CAPEX - Manutenção_PPD'!$A$3:$K$22,11,FALSE)+VLOOKUP($A20,'CAPEX - Manutenção_PTR_Taxiway'!$A$3:$K$22,11,FALSE)+VLOOKUP($A20,'CAPEX - Manutenção_Pátio'!$A$3:$K$22,11,FALSE)+VLOOKUP($A20,'CAPEX - Manut._Desemborracham.'!$A$3:$P$54,16,FALSE)</f>
        <v>303010.54604554916</v>
      </c>
      <c r="AJ20" s="28">
        <v>0</v>
      </c>
      <c r="AK20" s="28">
        <f>VLOOKUP($A20,'CAPEX - Manut._Desemborracham.'!$A$3:$Q$54,17,FALSE)</f>
        <v>60943.086045549135</v>
      </c>
      <c r="AL20" s="28">
        <v>0</v>
      </c>
      <c r="AM20" s="28">
        <f t="shared" ref="AM20:AM21" si="3">SUM(H20:AL20)</f>
        <v>36988222.500683226</v>
      </c>
      <c r="AN20" s="29">
        <f>VLOOKUP($A20,'BASE PAN - CAPEX'!$A$3:$H$22,8,FALSE)</f>
        <v>3</v>
      </c>
      <c r="AO20" s="29">
        <v>1</v>
      </c>
      <c r="AP20" s="29" t="s">
        <v>97</v>
      </c>
      <c r="AQ20" s="29" t="s">
        <v>97</v>
      </c>
      <c r="AR20" s="29">
        <v>2030</v>
      </c>
      <c r="AS20" s="29" t="s">
        <v>97</v>
      </c>
      <c r="AT20" s="29" t="s">
        <v>97</v>
      </c>
      <c r="AU20" s="29">
        <v>2</v>
      </c>
    </row>
    <row r="21" spans="1:47" s="17" customFormat="1" x14ac:dyDescent="0.25">
      <c r="A21" s="17" t="s">
        <v>321</v>
      </c>
      <c r="B21" s="30" t="str">
        <f>VLOOKUP(A21,'CAPEX - Navegação Aérea'!$A$3:$B$22,2,FALSE)</f>
        <v>AEROPORTO REGIONAL DE CANOA QUEBRADA DRAGÃO DO MAR</v>
      </c>
      <c r="C21" s="17" t="str">
        <f>VLOOKUP(A21,'[10]FLUXO DE CAIXA DESC.-BLOCOS PAN'!$A$3:$D$251,4,FALSE)</f>
        <v>SBJE230425</v>
      </c>
      <c r="D21" s="17" t="s">
        <v>322</v>
      </c>
      <c r="E21" s="17" t="s">
        <v>323</v>
      </c>
      <c r="F21" s="17" t="s">
        <v>28</v>
      </c>
      <c r="G21" s="17" t="s">
        <v>29</v>
      </c>
      <c r="H21" s="28">
        <f>VLOOKUP($A21,'BASE PAN - CAPEX'!$A$3:$I$22,9,FALSE)+VLOOKUP($A21,'CAPEX - Manutenção_PPD'!$A$3:$C$22,3,FALSE)+VLOOKUP($A21,'CAPEX - Manutenção_PTR_Taxiway'!$A$3:$C$22,3,FALSE)+VLOOKUP($A21,'CAPEX - Manutenção_Pátio'!$A$3:$C$22,3,FALSE)+VLOOKUP($A21,'CAPEX - Navegação Aérea'!$A$3:$H$22,8,FALSE)</f>
        <v>43392879.439999998</v>
      </c>
      <c r="I21" s="28">
        <f>VLOOKUP($A21,'CAPEX - Manut._Desemborracham.'!$A$3:$C$54,3,FALSE)</f>
        <v>71379.218804624281</v>
      </c>
      <c r="J21" s="28">
        <v>0</v>
      </c>
      <c r="K21" s="28">
        <f>VLOOKUP($A21,'CAPEX - Manut._Desemborracham.'!$A$3:$D$54,4,FALSE)</f>
        <v>71379.218804624281</v>
      </c>
      <c r="L21" s="28">
        <f>VLOOKUP($A21,'CAPEX - Manutenção_PPD'!$A$3:$D$22,4,FALSE)+VLOOKUP($A21,'CAPEX - Manutenção_PTR_Taxiway'!$A$3:$D$22,4,FALSE)+VLOOKUP($A21,'CAPEX - Manutenção_Pátio'!$A$3:$D$22,4,FALSE)</f>
        <v>336471.86</v>
      </c>
      <c r="M21" s="28">
        <f>VLOOKUP($A21,'CAPEX - Manut._Desemborracham.'!$A$3:$E$54,5,FALSE)</f>
        <v>71379.218804624281</v>
      </c>
      <c r="N21" s="28">
        <v>0</v>
      </c>
      <c r="O21" s="28">
        <f>VLOOKUP($A21,'CAPEX - Manutenção_PPD'!$A$3:$E$22,5,FALSE)+VLOOKUP($A21,'CAPEX - Manutenção_PTR_Taxiway'!$A$3:$E$22,5,FALSE)+VLOOKUP($A21,'CAPEX - Manutenção_Pátio'!$A$3:$E$22,5,FALSE)+VLOOKUP($A21,'CAPEX - Manut._Desemborracham.'!$A$3:$F$54,6,FALSE)</f>
        <v>407851.07880462427</v>
      </c>
      <c r="P21" s="28">
        <v>0</v>
      </c>
      <c r="Q21" s="28">
        <f>VLOOKUP($A21,'CAPEX - Manutenção_PPD'!$A$3:$F$22,6,FALSE)+VLOOKUP($A21,'CAPEX - Manutenção_PTR_Taxiway'!$A$3:$F$22,6,FALSE)+VLOOKUP($A21,'CAPEX - Manutenção_Pátio'!$A$3:$F$22,6,FALSE)+VLOOKUP($A21,'CAPEX - Manut._Desemborracham.'!$A$3:$G$54,7,FALSE)</f>
        <v>13647990.838804623</v>
      </c>
      <c r="R21" s="28">
        <v>0</v>
      </c>
      <c r="S21" s="28">
        <f>VLOOKUP($A21,'CAPEX - Manut._Desemborracham.'!$A$3:$H$54,8,FALSE)</f>
        <v>71379.218804624281</v>
      </c>
      <c r="T21" s="28">
        <v>0</v>
      </c>
      <c r="U21" s="28">
        <f>VLOOKUP($A21,'CAPEX - Manut._Desemborracham.'!$A$3:$I$54,9,FALSE)</f>
        <v>71379.218804624281</v>
      </c>
      <c r="V21" s="28">
        <f>VLOOKUP($A21,'CAPEX - Manutenção_PPD'!$A$3:$G$22,7,FALSE)+VLOOKUP($A21,'CAPEX - Manutenção_PTR_Taxiway'!$A$3:$G$22,7,FALSE)+VLOOKUP($A21,'CAPEX - Manutenção_Pátio'!$A$3:$G$22,7,FALSE)</f>
        <v>17721588.16</v>
      </c>
      <c r="W21" s="28">
        <f>VLOOKUP($A21,'CAPEX - Manut._Desemborracham.'!$A$3:$J$54,10,FALSE)</f>
        <v>71379.218804624281</v>
      </c>
      <c r="X21" s="28">
        <v>0</v>
      </c>
      <c r="Y21" s="28">
        <f>VLOOKUP($A21,'CAPEX - Manutenção_PPD'!$A$3:$H$22,8,FALSE)+VLOOKUP($A21,'CAPEX - Manutenção_PTR_Taxiway'!$A$3:$H$22,8,FALSE)+VLOOKUP($A21,'CAPEX - Manutenção_Pátio'!$A$3:$H$22,8,FALSE)+VLOOKUP($A21,'CAPEX - Manut._Desemborracham.'!$A$3:$K$54,11,FALSE)</f>
        <v>407851.07880462427</v>
      </c>
      <c r="Z21" s="28">
        <v>0</v>
      </c>
      <c r="AA21" s="28">
        <f>VLOOKUP($A21,'CAPEX - Manutenção_PPD'!$A$3:$I$22,9,FALSE)+VLOOKUP($A21,'CAPEX - Manutenção_PTR_Taxiway'!$A$3:$I$22,9,FALSE)+VLOOKUP($A21,'CAPEX - Manutenção_Pátio'!$A$3:$I$22,9,FALSE)+VLOOKUP($A21,'CAPEX - Manut._Desemborracham.'!$A$3:$L$54,12,FALSE)</f>
        <v>13647990.838804623</v>
      </c>
      <c r="AB21" s="28">
        <v>0</v>
      </c>
      <c r="AC21" s="28">
        <f>VLOOKUP($A21,'CAPEX - Manut._Desemborracham.'!$A$3:$M$54,13,FALSE)</f>
        <v>71379.218804624281</v>
      </c>
      <c r="AD21" s="28">
        <v>0</v>
      </c>
      <c r="AE21" s="28">
        <f>VLOOKUP($A21,'CAPEX - Manut._Desemborracham.'!$A$3:$N$54,14,FALSE)</f>
        <v>71379.218804624281</v>
      </c>
      <c r="AF21" s="28">
        <f>VLOOKUP($A21,'CAPEX - Manutenção_PPD'!$A$3:$J$22,10,FALSE)+VLOOKUP($A21,'CAPEX - Manutenção_PTR_Taxiway'!$A$3:$J$22,10,FALSE)+VLOOKUP($A21,'CAPEX - Manutenção_Pátio'!$A$3:$J$22,10,FALSE)</f>
        <v>336471.86</v>
      </c>
      <c r="AG21" s="28">
        <f>VLOOKUP($A21,'CAPEX - Manut._Desemborracham.'!$A$3:$O$54,15,FALSE)</f>
        <v>71379.218804624281</v>
      </c>
      <c r="AH21" s="28">
        <v>0</v>
      </c>
      <c r="AI21" s="28">
        <f>VLOOKUP($A21,'CAPEX - Manutenção_PPD'!$A$3:$K$22,11,FALSE)+VLOOKUP($A21,'CAPEX - Manutenção_PTR_Taxiway'!$A$3:$K$22,11,FALSE)+VLOOKUP($A21,'CAPEX - Manutenção_Pátio'!$A$3:$K$22,11,FALSE)+VLOOKUP($A21,'CAPEX - Manut._Desemborracham.'!$A$3:$P$54,16,FALSE)</f>
        <v>407851.07880462427</v>
      </c>
      <c r="AJ21" s="28">
        <v>0</v>
      </c>
      <c r="AK21" s="28">
        <f>VLOOKUP($A21,'CAPEX - Manut._Desemborracham.'!$A$3:$Q$54,17,FALSE)</f>
        <v>71379.218804624281</v>
      </c>
      <c r="AL21" s="28">
        <v>0</v>
      </c>
      <c r="AM21" s="28">
        <f t="shared" si="3"/>
        <v>91020738.422069401</v>
      </c>
      <c r="AN21" s="29">
        <f>VLOOKUP($A21,'BASE PAN - CAPEX'!$A$3:$H$22,8,FALSE)</f>
        <v>4</v>
      </c>
      <c r="AO21" s="29">
        <v>4</v>
      </c>
      <c r="AP21" s="29" t="s">
        <v>97</v>
      </c>
      <c r="AQ21" s="29" t="s">
        <v>97</v>
      </c>
      <c r="AR21" s="29" t="s">
        <v>97</v>
      </c>
      <c r="AS21" s="29" t="s">
        <v>97</v>
      </c>
      <c r="AT21" s="29" t="s">
        <v>97</v>
      </c>
      <c r="AU21" s="29" t="s">
        <v>97</v>
      </c>
    </row>
    <row r="22" spans="1:47" x14ac:dyDescent="0.25">
      <c r="H22" s="7">
        <f t="shared" ref="H22:AM22" si="4">SUBTOTAL(109,H3:H21)</f>
        <v>526052225.28000003</v>
      </c>
      <c r="I22" s="7">
        <f t="shared" si="4"/>
        <v>938503.72231178032</v>
      </c>
      <c r="J22" s="7">
        <f t="shared" si="4"/>
        <v>0</v>
      </c>
      <c r="K22" s="7">
        <f t="shared" si="4"/>
        <v>938503.72231178032</v>
      </c>
      <c r="L22" s="7">
        <f t="shared" si="4"/>
        <v>3629923.4699999997</v>
      </c>
      <c r="M22" s="7">
        <f t="shared" si="4"/>
        <v>938503.72231178032</v>
      </c>
      <c r="N22" s="7">
        <f t="shared" si="4"/>
        <v>0</v>
      </c>
      <c r="O22" s="7">
        <f t="shared" si="4"/>
        <v>4568427.1923117805</v>
      </c>
      <c r="P22" s="7">
        <f t="shared" si="4"/>
        <v>0</v>
      </c>
      <c r="Q22" s="7">
        <f t="shared" si="4"/>
        <v>156390390.45231175</v>
      </c>
      <c r="R22" s="7">
        <f t="shared" si="4"/>
        <v>0</v>
      </c>
      <c r="S22" s="7">
        <f t="shared" si="4"/>
        <v>938503.72231178032</v>
      </c>
      <c r="T22" s="7">
        <f t="shared" si="4"/>
        <v>0</v>
      </c>
      <c r="U22" s="7">
        <f t="shared" si="4"/>
        <v>938503.72231178032</v>
      </c>
      <c r="V22" s="7">
        <f t="shared" si="4"/>
        <v>118823404.04000001</v>
      </c>
      <c r="W22" s="7">
        <f t="shared" si="4"/>
        <v>938503.72231178032</v>
      </c>
      <c r="X22" s="7">
        <f t="shared" si="4"/>
        <v>0</v>
      </c>
      <c r="Y22" s="7">
        <f t="shared" si="4"/>
        <v>4568427.1923117805</v>
      </c>
      <c r="Z22" s="7">
        <f t="shared" si="4"/>
        <v>0</v>
      </c>
      <c r="AA22" s="7">
        <f t="shared" si="4"/>
        <v>156390390.45231175</v>
      </c>
      <c r="AB22" s="7">
        <f t="shared" si="4"/>
        <v>0</v>
      </c>
      <c r="AC22" s="7">
        <f t="shared" si="4"/>
        <v>938503.72231178032</v>
      </c>
      <c r="AD22" s="7">
        <f t="shared" si="4"/>
        <v>0</v>
      </c>
      <c r="AE22" s="7">
        <f t="shared" si="4"/>
        <v>938503.72231178032</v>
      </c>
      <c r="AF22" s="7">
        <f t="shared" si="4"/>
        <v>3629923.4699999997</v>
      </c>
      <c r="AG22" s="7">
        <f t="shared" si="4"/>
        <v>938503.72231178032</v>
      </c>
      <c r="AH22" s="7">
        <f t="shared" si="4"/>
        <v>0</v>
      </c>
      <c r="AI22" s="7">
        <f t="shared" si="4"/>
        <v>4568427.1923117805</v>
      </c>
      <c r="AJ22" s="7">
        <f t="shared" si="4"/>
        <v>0</v>
      </c>
      <c r="AK22" s="7">
        <f t="shared" si="4"/>
        <v>938503.72231178032</v>
      </c>
      <c r="AL22" s="7">
        <f t="shared" si="4"/>
        <v>0</v>
      </c>
      <c r="AM22" s="7">
        <f t="shared" si="4"/>
        <v>988006575.96467662</v>
      </c>
    </row>
    <row r="23" spans="1:47" x14ac:dyDescent="0.25">
      <c r="H23" s="7">
        <f>H22</f>
        <v>526052225.28000003</v>
      </c>
      <c r="I23" s="7">
        <f>H23+I22</f>
        <v>526990729.00231183</v>
      </c>
      <c r="J23" s="7">
        <f t="shared" ref="J23:AL23" si="5">I23+J22</f>
        <v>526990729.00231183</v>
      </c>
      <c r="K23" s="7">
        <f t="shared" si="5"/>
        <v>527929232.72462362</v>
      </c>
      <c r="L23" s="7">
        <f t="shared" si="5"/>
        <v>531559156.19462365</v>
      </c>
      <c r="M23" s="7">
        <f t="shared" si="5"/>
        <v>532497659.91693544</v>
      </c>
      <c r="N23" s="7">
        <f t="shared" si="5"/>
        <v>532497659.91693544</v>
      </c>
      <c r="O23" s="7">
        <f t="shared" si="5"/>
        <v>537066087.10924721</v>
      </c>
      <c r="P23" s="7">
        <f t="shared" si="5"/>
        <v>537066087.10924721</v>
      </c>
      <c r="Q23" s="7">
        <f t="shared" si="5"/>
        <v>693456477.56155896</v>
      </c>
      <c r="R23" s="7">
        <f t="shared" si="5"/>
        <v>693456477.56155896</v>
      </c>
      <c r="S23" s="7">
        <f t="shared" si="5"/>
        <v>694394981.2838707</v>
      </c>
      <c r="T23" s="7">
        <f t="shared" si="5"/>
        <v>694394981.2838707</v>
      </c>
      <c r="U23" s="7">
        <f t="shared" si="5"/>
        <v>695333485.00618243</v>
      </c>
      <c r="V23" s="7">
        <f t="shared" si="5"/>
        <v>814156889.04618239</v>
      </c>
      <c r="W23" s="7">
        <f t="shared" si="5"/>
        <v>815095392.76849413</v>
      </c>
      <c r="X23" s="7">
        <f t="shared" si="5"/>
        <v>815095392.76849413</v>
      </c>
      <c r="Y23" s="7">
        <f t="shared" si="5"/>
        <v>819663819.96080589</v>
      </c>
      <c r="Z23" s="7">
        <f t="shared" si="5"/>
        <v>819663819.96080589</v>
      </c>
      <c r="AA23" s="7">
        <f t="shared" si="5"/>
        <v>976054210.41311765</v>
      </c>
      <c r="AB23" s="7">
        <f t="shared" si="5"/>
        <v>976054210.41311765</v>
      </c>
      <c r="AC23" s="7">
        <f t="shared" si="5"/>
        <v>976992714.13542938</v>
      </c>
      <c r="AD23" s="7">
        <f t="shared" si="5"/>
        <v>976992714.13542938</v>
      </c>
      <c r="AE23" s="7">
        <f t="shared" si="5"/>
        <v>977931217.85774112</v>
      </c>
      <c r="AF23" s="7">
        <f t="shared" si="5"/>
        <v>981561141.32774115</v>
      </c>
      <c r="AG23" s="7">
        <f t="shared" si="5"/>
        <v>982499645.05005288</v>
      </c>
      <c r="AH23" s="7">
        <f t="shared" si="5"/>
        <v>982499645.05005288</v>
      </c>
      <c r="AI23" s="7">
        <f t="shared" si="5"/>
        <v>987068072.24236465</v>
      </c>
      <c r="AJ23" s="7">
        <f t="shared" si="5"/>
        <v>987068072.24236465</v>
      </c>
      <c r="AK23" s="7">
        <f t="shared" si="5"/>
        <v>988006575.96467638</v>
      </c>
      <c r="AL23" s="7">
        <f t="shared" si="5"/>
        <v>988006575.96467638</v>
      </c>
    </row>
    <row r="28" spans="1:47" x14ac:dyDescent="0.25">
      <c r="A28" s="23" t="s">
        <v>146</v>
      </c>
    </row>
  </sheetData>
  <autoFilter ref="A2:AU23" xr:uid="{DC27659D-9DB7-4AAC-88C5-1150CD672878}"/>
  <conditionalFormatting sqref="C3:C16">
    <cfRule type="duplicateValues" dxfId="4" priority="402"/>
  </conditionalFormatting>
  <hyperlinks>
    <hyperlink ref="A28" location="Introdução!A1" display="Introdução!A1" xr:uid="{E01EAEE6-94D1-46CA-8861-3CE1850529B8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1</vt:i4>
      </vt:variant>
    </vt:vector>
  </HeadingPairs>
  <TitlesOfParts>
    <vt:vector size="26" baseType="lpstr">
      <vt:lpstr>Introdução</vt:lpstr>
      <vt:lpstr>AMPLIAR (RESUMO)</vt:lpstr>
      <vt:lpstr>FLUXO DE CAIXA NOM.- PAN</vt:lpstr>
      <vt:lpstr>FLUXO DE CAIXA NOM.-S MULT. PAN</vt:lpstr>
      <vt:lpstr>FLUXO DE CAIXA NOM.- DETALHADO</vt:lpstr>
      <vt:lpstr>CAPEX - PAN</vt:lpstr>
      <vt:lpstr>CAPEX - PAN S- MULT.</vt:lpstr>
      <vt:lpstr>CAPEX - PAN (ANO A ANO)</vt:lpstr>
      <vt:lpstr>CAPEX - PAN_ANO S- MULT</vt:lpstr>
      <vt:lpstr>OPEX - PAN</vt:lpstr>
      <vt:lpstr>RECEITAS - PAN</vt:lpstr>
      <vt:lpstr>Premissas Gerais</vt:lpstr>
      <vt:lpstr>BASE PAN - CAPEX</vt:lpstr>
      <vt:lpstr>BASE PAN - OPEX</vt:lpstr>
      <vt:lpstr>BASE PAN - RECEITAS</vt:lpstr>
      <vt:lpstr>BASE PAN - RESULTADOS</vt:lpstr>
      <vt:lpstr>Premissas - CAPEX_Manutenção</vt:lpstr>
      <vt:lpstr>CAPEX - Manutenção_PPD</vt:lpstr>
      <vt:lpstr>CAPEX - Manutenção_PTR_Taxiway</vt:lpstr>
      <vt:lpstr>CAPEX - Manutenção_Pátio</vt:lpstr>
      <vt:lpstr>CAPEX - Manut._Desemborracham.</vt:lpstr>
      <vt:lpstr>TOTAL - CAPEX_Manutenção</vt:lpstr>
      <vt:lpstr>CAPEX - Navegação Aérea</vt:lpstr>
      <vt:lpstr>Projeção — Demanda PAX</vt:lpstr>
      <vt:lpstr>Projeção - Demanda PAX</vt:lpstr>
      <vt:lpstr>'Projeção — Demanda PAX'!CF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Fábio Eduardo Arruda</dc:creator>
  <cp:lastModifiedBy>Michele Nunes Freires Cerqueira</cp:lastModifiedBy>
  <dcterms:created xsi:type="dcterms:W3CDTF">2024-07-10T19:48:23Z</dcterms:created>
  <dcterms:modified xsi:type="dcterms:W3CDTF">2025-08-06T14:08:25Z</dcterms:modified>
</cp:coreProperties>
</file>