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codeName="EstaPasta_de_trabalho" defaultThemeVersion="124226"/>
  <xr:revisionPtr revIDLastSave="0" documentId="8_{FBD42BFC-4A89-45CD-9A78-AA3096098061}" xr6:coauthVersionLast="47" xr6:coauthVersionMax="47" xr10:uidLastSave="{00000000-0000-0000-0000-000000000000}"/>
  <bookViews>
    <workbookView xWindow="-120" yWindow="-120" windowWidth="29040" windowHeight="14175" xr2:uid="{00000000-000D-0000-FFFF-FFFF00000000}"/>
  </bookViews>
  <sheets>
    <sheet name="SPDA - MINFRA " sheetId="14" r:id="rId1"/>
    <sheet name="SPDA - CURVA ABC" sheetId="18" state="hidden" r:id="rId2"/>
    <sheet name="SPDA - MINFRA - ABC" sheetId="17" state="hidden" r:id="rId3"/>
    <sheet name="CRONOGRAMA" sheetId="16" r:id="rId4"/>
    <sheet name=" BDI " sheetId="19" r:id="rId5"/>
    <sheet name="planilha suporte" sheetId="15" state="hidden" r:id="rId6"/>
  </sheets>
  <definedNames>
    <definedName name="_xlnm.Print_Area" localSheetId="4">' BDI '!$A$1:$C$50</definedName>
    <definedName name="_xlnm.Print_Area" localSheetId="1">'SPDA - CURVA ABC'!$A$1:$K$101</definedName>
    <definedName name="_xlnm.Print_Area" localSheetId="0">'SPDA - MINFRA '!$A$1:$H$85</definedName>
    <definedName name="_xlnm.Print_Area" localSheetId="2">'SPDA - MINFRA - ABC'!$A$1:$K$66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9" l="1"/>
  <c r="E33" i="19"/>
  <c r="O20" i="17"/>
  <c r="N20" i="17"/>
  <c r="I20" i="17"/>
  <c r="H21" i="18" l="1"/>
  <c r="H32" i="18"/>
  <c r="H24" i="18"/>
  <c r="H28" i="18"/>
  <c r="H49" i="18"/>
  <c r="H60" i="18"/>
  <c r="H50" i="18"/>
  <c r="H35" i="18"/>
  <c r="H41" i="18"/>
  <c r="H40" i="18"/>
  <c r="H29" i="18"/>
  <c r="H23" i="18"/>
  <c r="H59" i="18"/>
  <c r="H45" i="18"/>
  <c r="H54" i="18"/>
  <c r="F44" i="18"/>
  <c r="H44" i="18" s="1"/>
  <c r="H27" i="18"/>
  <c r="H39" i="18"/>
  <c r="H58" i="18"/>
  <c r="H30" i="18"/>
  <c r="H38" i="18"/>
  <c r="H25" i="18"/>
  <c r="H53" i="18"/>
  <c r="H56" i="18"/>
  <c r="H42" i="18"/>
  <c r="H63" i="18"/>
  <c r="H61" i="18"/>
  <c r="H62" i="18"/>
  <c r="H31" i="18"/>
  <c r="H55" i="18"/>
  <c r="H57" i="18"/>
  <c r="H43" i="18"/>
  <c r="H48" i="18"/>
  <c r="H46" i="18"/>
  <c r="H34" i="18"/>
  <c r="H47" i="18"/>
  <c r="H37" i="18"/>
  <c r="H51" i="18"/>
  <c r="H20" i="18"/>
  <c r="H26" i="18"/>
  <c r="H22" i="18"/>
  <c r="H33" i="18"/>
  <c r="H36" i="18"/>
  <c r="H52" i="18"/>
  <c r="H64" i="18" l="1"/>
  <c r="J20" i="17"/>
  <c r="K20" i="17" s="1"/>
  <c r="H21" i="17"/>
  <c r="H36" i="17"/>
  <c r="H25" i="17"/>
  <c r="H28" i="17"/>
  <c r="H49" i="17"/>
  <c r="H60" i="17"/>
  <c r="H53" i="17"/>
  <c r="H32" i="17"/>
  <c r="H39" i="17"/>
  <c r="H38" i="17"/>
  <c r="H29" i="17"/>
  <c r="H24" i="17"/>
  <c r="H59" i="17"/>
  <c r="H45" i="17"/>
  <c r="H52" i="17"/>
  <c r="F42" i="17"/>
  <c r="H42" i="17" s="1"/>
  <c r="H27" i="17"/>
  <c r="H41" i="17"/>
  <c r="H58" i="17"/>
  <c r="H30" i="17"/>
  <c r="H43" i="17"/>
  <c r="H23" i="17"/>
  <c r="H55" i="17"/>
  <c r="H56" i="17"/>
  <c r="H46" i="17"/>
  <c r="H62" i="17"/>
  <c r="H63" i="17"/>
  <c r="H61" i="17"/>
  <c r="H34" i="17"/>
  <c r="H54" i="17"/>
  <c r="H57" i="17"/>
  <c r="H40" i="17"/>
  <c r="H47" i="17"/>
  <c r="H44" i="17"/>
  <c r="H31" i="17"/>
  <c r="H48" i="17"/>
  <c r="H35" i="17"/>
  <c r="H50" i="17"/>
  <c r="H20" i="17"/>
  <c r="H26" i="17"/>
  <c r="H22" i="17"/>
  <c r="H37" i="17"/>
  <c r="H33" i="17"/>
  <c r="H51" i="17"/>
  <c r="J21" i="17" l="1"/>
  <c r="J22" i="17" s="1"/>
  <c r="K22" i="17" s="1"/>
  <c r="J23" i="17"/>
  <c r="H64" i="17"/>
  <c r="I24" i="17" s="1"/>
  <c r="K21" i="17" l="1"/>
  <c r="J24" i="17"/>
  <c r="K23" i="17"/>
  <c r="I23" i="17"/>
  <c r="I52" i="17"/>
  <c r="I43" i="17"/>
  <c r="H65" i="17"/>
  <c r="H66" i="17" s="1"/>
  <c r="I49" i="17"/>
  <c r="I25" i="17"/>
  <c r="I63" i="17"/>
  <c r="I33" i="17"/>
  <c r="I32" i="17"/>
  <c r="I42" i="17"/>
  <c r="I58" i="17"/>
  <c r="I61" i="17"/>
  <c r="I60" i="17"/>
  <c r="I22" i="17"/>
  <c r="I47" i="17"/>
  <c r="I21" i="17"/>
  <c r="I62" i="17"/>
  <c r="I55" i="17"/>
  <c r="I59" i="17"/>
  <c r="I50" i="17"/>
  <c r="I54" i="17"/>
  <c r="I28" i="17"/>
  <c r="I57" i="17"/>
  <c r="I40" i="17"/>
  <c r="I48" i="17"/>
  <c r="I44" i="17"/>
  <c r="I51" i="17"/>
  <c r="I29" i="17"/>
  <c r="I36" i="17"/>
  <c r="I56" i="17"/>
  <c r="I46" i="17"/>
  <c r="I34" i="17"/>
  <c r="I37" i="17"/>
  <c r="I53" i="17"/>
  <c r="I38" i="17"/>
  <c r="I31" i="17"/>
  <c r="I27" i="17"/>
  <c r="I45" i="17"/>
  <c r="I41" i="17"/>
  <c r="I35" i="17"/>
  <c r="I26" i="17"/>
  <c r="I30" i="17"/>
  <c r="I39" i="17"/>
  <c r="J25" i="17" l="1"/>
  <c r="K24" i="17"/>
  <c r="K25" i="17" l="1"/>
  <c r="J26" i="17"/>
  <c r="K26" i="17" l="1"/>
  <c r="J27" i="17"/>
  <c r="K27" i="17" l="1"/>
  <c r="J28" i="17"/>
  <c r="K28" i="17" l="1"/>
  <c r="J29" i="17"/>
  <c r="K29" i="17" l="1"/>
  <c r="J30" i="17"/>
  <c r="K30" i="17" l="1"/>
  <c r="J31" i="17"/>
  <c r="K31" i="17" l="1"/>
  <c r="J32" i="17"/>
  <c r="K32" i="17" l="1"/>
  <c r="J33" i="17"/>
  <c r="K33" i="17" l="1"/>
  <c r="J34" i="17"/>
  <c r="K34" i="17" l="1"/>
  <c r="J35" i="17"/>
  <c r="K35" i="17" l="1"/>
  <c r="J36" i="17"/>
  <c r="K36" i="17" l="1"/>
  <c r="J37" i="17"/>
  <c r="K37" i="17" l="1"/>
  <c r="J38" i="17"/>
  <c r="K38" i="17" l="1"/>
  <c r="J39" i="17"/>
  <c r="H74" i="14"/>
  <c r="H52" i="14"/>
  <c r="H51" i="14"/>
  <c r="H63" i="14"/>
  <c r="H62" i="14"/>
  <c r="H61" i="14"/>
  <c r="H50" i="14"/>
  <c r="H49" i="14"/>
  <c r="H48" i="14"/>
  <c r="H47" i="14"/>
  <c r="H46" i="14"/>
  <c r="F60" i="14"/>
  <c r="H60" i="14" s="1"/>
  <c r="H59" i="14"/>
  <c r="H58" i="14"/>
  <c r="H57" i="14"/>
  <c r="H56" i="14"/>
  <c r="H55" i="14"/>
  <c r="H44" i="14"/>
  <c r="H37" i="14"/>
  <c r="H54" i="14"/>
  <c r="H43" i="14"/>
  <c r="H42" i="14"/>
  <c r="H41" i="14"/>
  <c r="H40" i="14"/>
  <c r="H39" i="14"/>
  <c r="H38" i="14"/>
  <c r="H36" i="14"/>
  <c r="H29" i="14"/>
  <c r="K39" i="17" l="1"/>
  <c r="J40" i="17"/>
  <c r="H34" i="16"/>
  <c r="H32" i="16"/>
  <c r="H30" i="16"/>
  <c r="H28" i="16"/>
  <c r="H26" i="16"/>
  <c r="H24" i="16"/>
  <c r="H22" i="16"/>
  <c r="K40" i="17" l="1"/>
  <c r="J41" i="17"/>
  <c r="H77" i="14"/>
  <c r="H78" i="14"/>
  <c r="H76" i="14"/>
  <c r="H72" i="14"/>
  <c r="H70" i="14"/>
  <c r="H71" i="14"/>
  <c r="H28" i="14"/>
  <c r="H31" i="14"/>
  <c r="H32" i="14"/>
  <c r="H35" i="14"/>
  <c r="H65" i="14"/>
  <c r="H66" i="14"/>
  <c r="H67" i="14"/>
  <c r="H68" i="14"/>
  <c r="H69" i="14"/>
  <c r="H26" i="14"/>
  <c r="K41" i="17" l="1"/>
  <c r="J42" i="17"/>
  <c r="H79" i="14"/>
  <c r="K42" i="17" l="1"/>
  <c r="J43" i="17"/>
  <c r="H80" i="14"/>
  <c r="H81" i="14" s="1"/>
  <c r="D33" i="16"/>
  <c r="D31" i="16"/>
  <c r="D23" i="16"/>
  <c r="D29" i="16"/>
  <c r="D21" i="16"/>
  <c r="D27" i="16"/>
  <c r="D25" i="16"/>
  <c r="K43" i="17" l="1"/>
  <c r="J44" i="17"/>
  <c r="F33" i="16"/>
  <c r="G33" i="16"/>
  <c r="E33" i="16"/>
  <c r="G29" i="16"/>
  <c r="E29" i="16"/>
  <c r="F29" i="16"/>
  <c r="F27" i="16"/>
  <c r="G27" i="16"/>
  <c r="E27" i="16"/>
  <c r="F23" i="16"/>
  <c r="G23" i="16"/>
  <c r="E23" i="16"/>
  <c r="G31" i="16"/>
  <c r="E31" i="16"/>
  <c r="F31" i="16"/>
  <c r="E25" i="16"/>
  <c r="G25" i="16"/>
  <c r="F25" i="16"/>
  <c r="G21" i="16"/>
  <c r="E21" i="16"/>
  <c r="F21" i="16"/>
  <c r="K44" i="17" l="1"/>
  <c r="J45" i="17"/>
  <c r="F35" i="16"/>
  <c r="F36" i="16" s="1"/>
  <c r="G35" i="16"/>
  <c r="G36" i="16" s="1"/>
  <c r="E35" i="16"/>
  <c r="E36" i="16" s="1"/>
  <c r="H33" i="16"/>
  <c r="H23" i="16"/>
  <c r="H21" i="16"/>
  <c r="H25" i="16"/>
  <c r="H31" i="16"/>
  <c r="H27" i="16"/>
  <c r="H29" i="16"/>
  <c r="K45" i="17" l="1"/>
  <c r="J46" i="17"/>
  <c r="F37" i="16"/>
  <c r="G37" i="16"/>
  <c r="H35" i="16"/>
  <c r="K46" i="17" l="1"/>
  <c r="J47" i="17"/>
  <c r="H36" i="16"/>
  <c r="E37" i="16"/>
  <c r="H37" i="16" s="1"/>
  <c r="K47" i="17" l="1"/>
  <c r="J48" i="17"/>
  <c r="K48" i="17" l="1"/>
  <c r="J49" i="17"/>
  <c r="K49" i="17" l="1"/>
  <c r="J50" i="17"/>
  <c r="K50" i="17" l="1"/>
  <c r="J51" i="17"/>
  <c r="K51" i="17" l="1"/>
  <c r="J52" i="17"/>
  <c r="K52" i="17" l="1"/>
  <c r="J53" i="17"/>
  <c r="K53" i="17" l="1"/>
  <c r="J54" i="17"/>
  <c r="K54" i="17" l="1"/>
  <c r="J55" i="17"/>
  <c r="K55" i="17" l="1"/>
  <c r="J56" i="17"/>
  <c r="K56" i="17" l="1"/>
  <c r="J57" i="17"/>
  <c r="K57" i="17" l="1"/>
  <c r="J58" i="17"/>
  <c r="K58" i="17" l="1"/>
  <c r="J59" i="17"/>
  <c r="K59" i="17" l="1"/>
  <c r="J60" i="17"/>
  <c r="K60" i="17" l="1"/>
  <c r="J61" i="17"/>
  <c r="K61" i="17" l="1"/>
  <c r="J62" i="17"/>
  <c r="H65" i="18" l="1"/>
  <c r="H66" i="18" s="1"/>
  <c r="I52" i="18"/>
  <c r="I43" i="18"/>
  <c r="I20" i="18"/>
  <c r="J20" i="18" s="1"/>
  <c r="K20" i="18" s="1"/>
  <c r="I40" i="18"/>
  <c r="I35" i="18"/>
  <c r="I36" i="18"/>
  <c r="I61" i="18"/>
  <c r="I51" i="18"/>
  <c r="I58" i="18"/>
  <c r="I33" i="18"/>
  <c r="I54" i="18"/>
  <c r="I42" i="18"/>
  <c r="I48" i="18"/>
  <c r="I28" i="18"/>
  <c r="I59" i="18"/>
  <c r="I26" i="18"/>
  <c r="I55" i="18"/>
  <c r="I62" i="18"/>
  <c r="I24" i="18"/>
  <c r="I29" i="18"/>
  <c r="I39" i="18"/>
  <c r="I44" i="18"/>
  <c r="I37" i="18"/>
  <c r="I60" i="18"/>
  <c r="I38" i="18"/>
  <c r="I25" i="18"/>
  <c r="I50" i="18"/>
  <c r="I45" i="18"/>
  <c r="I21" i="18"/>
  <c r="I41" i="18"/>
  <c r="I31" i="18"/>
  <c r="I53" i="18"/>
  <c r="I47" i="18"/>
  <c r="I27" i="18"/>
  <c r="I30" i="18"/>
  <c r="I56" i="18"/>
  <c r="I22" i="18"/>
  <c r="I32" i="18"/>
  <c r="I49" i="18"/>
  <c r="I57" i="18"/>
  <c r="I23" i="18"/>
  <c r="I63" i="18"/>
  <c r="I46" i="18"/>
  <c r="I34" i="18"/>
  <c r="K62" i="17"/>
  <c r="J63" i="17"/>
  <c r="K63" i="17" s="1"/>
  <c r="N21" i="17"/>
  <c r="N22" i="17"/>
  <c r="O22" i="17"/>
  <c r="O21" i="17"/>
  <c r="J21" i="18" l="1"/>
  <c r="J22" i="18" l="1"/>
  <c r="K21" i="18"/>
  <c r="J23" i="18" l="1"/>
  <c r="K22" i="18"/>
  <c r="J24" i="18" l="1"/>
  <c r="K23" i="18"/>
  <c r="J25" i="18" l="1"/>
  <c r="K24" i="18"/>
  <c r="J26" i="18" l="1"/>
  <c r="K25" i="18"/>
  <c r="J27" i="18" l="1"/>
  <c r="K26" i="18"/>
  <c r="J28" i="18" l="1"/>
  <c r="K27" i="18"/>
  <c r="J29" i="18" l="1"/>
  <c r="K28" i="18"/>
  <c r="J30" i="18" l="1"/>
  <c r="K29" i="18"/>
  <c r="J31" i="18" l="1"/>
  <c r="K30" i="18"/>
  <c r="J32" i="18" l="1"/>
  <c r="K31" i="18"/>
  <c r="J33" i="18" l="1"/>
  <c r="K32" i="18"/>
  <c r="J34" i="18" l="1"/>
  <c r="K33" i="18"/>
  <c r="J35" i="18" l="1"/>
  <c r="K34" i="18"/>
  <c r="J36" i="18" l="1"/>
  <c r="K35" i="18"/>
  <c r="J37" i="18" l="1"/>
  <c r="K36" i="18"/>
  <c r="J38" i="18" l="1"/>
  <c r="K37" i="18"/>
  <c r="J39" i="18" l="1"/>
  <c r="K38" i="18"/>
  <c r="J40" i="18" l="1"/>
  <c r="K39" i="18"/>
  <c r="J41" i="18" l="1"/>
  <c r="K40" i="18"/>
  <c r="J42" i="18" l="1"/>
  <c r="K41" i="18"/>
  <c r="J43" i="18" l="1"/>
  <c r="K42" i="18"/>
  <c r="J44" i="18" l="1"/>
  <c r="K43" i="18"/>
  <c r="J45" i="18" l="1"/>
  <c r="K44" i="18"/>
  <c r="J46" i="18" l="1"/>
  <c r="K45" i="18"/>
  <c r="J47" i="18" l="1"/>
  <c r="K46" i="18"/>
  <c r="J48" i="18" l="1"/>
  <c r="K47" i="18"/>
  <c r="J49" i="18" l="1"/>
  <c r="K48" i="18"/>
  <c r="J50" i="18" l="1"/>
  <c r="K49" i="18"/>
  <c r="J51" i="18" l="1"/>
  <c r="K50" i="18"/>
  <c r="J52" i="18" l="1"/>
  <c r="K51" i="18"/>
  <c r="J53" i="18" l="1"/>
  <c r="K52" i="18"/>
  <c r="J54" i="18" l="1"/>
  <c r="K53" i="18"/>
  <c r="J55" i="18" l="1"/>
  <c r="K54" i="18"/>
  <c r="J56" i="18" l="1"/>
  <c r="K55" i="18"/>
  <c r="J57" i="18" l="1"/>
  <c r="K56" i="18"/>
  <c r="J58" i="18" l="1"/>
  <c r="K57" i="18"/>
  <c r="J59" i="18" l="1"/>
  <c r="K58" i="18"/>
  <c r="J60" i="18" l="1"/>
  <c r="K59" i="18"/>
  <c r="J61" i="18" l="1"/>
  <c r="K60" i="18"/>
  <c r="J62" i="18" l="1"/>
  <c r="K61" i="18"/>
  <c r="J63" i="18" l="1"/>
  <c r="K63" i="18" s="1"/>
  <c r="K62" i="18"/>
  <c r="N21" i="18" l="1"/>
  <c r="O22" i="18"/>
  <c r="O21" i="18"/>
  <c r="N22" i="18"/>
  <c r="N20" i="18"/>
  <c r="O20" i="18"/>
</calcChain>
</file>

<file path=xl/sharedStrings.xml><?xml version="1.0" encoding="utf-8"?>
<sst xmlns="http://schemas.openxmlformats.org/spreadsheetml/2006/main" count="759" uniqueCount="236">
  <si>
    <t>TOTAL GERAL</t>
  </si>
  <si>
    <t>fonte</t>
  </si>
  <si>
    <t>SINAPI</t>
  </si>
  <si>
    <t>ORÇAMENTO</t>
  </si>
  <si>
    <t>UNIDADE</t>
  </si>
  <si>
    <t>UNI.</t>
  </si>
  <si>
    <t>ML</t>
  </si>
  <si>
    <t>PÇ</t>
  </si>
  <si>
    <t>DIA</t>
  </si>
  <si>
    <t>MÊS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</si>
  <si>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</si>
  <si>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VB</t>
  </si>
  <si>
    <t>ITEM</t>
  </si>
  <si>
    <t>DESCRIÇÃO</t>
  </si>
  <si>
    <t>FONTE</t>
  </si>
  <si>
    <t>QUANT.</t>
  </si>
  <si>
    <t>VALOR UNI.</t>
  </si>
  <si>
    <t>VALOR TOTAL</t>
  </si>
  <si>
    <t>ANOTAÇÃO DE RESPONSABILIDADE TÉCNICA - ART CREA</t>
  </si>
  <si>
    <t xml:space="preserve">ALUGUEL DE BALANCIN </t>
  </si>
  <si>
    <t>ENGENHEIRO ELETRICISTA</t>
  </si>
  <si>
    <t>HORA</t>
  </si>
  <si>
    <t>CÓDIGO SINAPI</t>
  </si>
  <si>
    <t>ENCARREGADO GERAL DE OBRA</t>
  </si>
  <si>
    <r>
      <t>CORDOALHA DE COBRE NU DE 35MM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NÃO ENTERRADA COM ISOLADOR - FORNECIMENTO E INSTALAÇÃO</t>
    </r>
  </si>
  <si>
    <r>
      <t>CORDOALHA DE COBRE NU DE 50MM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ENTERRADA SEM ISOLADOR - FORNECIMENTO E INSTALAÇÃO</t>
    </r>
  </si>
  <si>
    <r>
      <t>PRESILHA EM LATÃO COM FURO DE 5MM PARA CABO DE 35MM</t>
    </r>
    <r>
      <rPr>
        <vertAlign val="superscript"/>
        <sz val="11"/>
        <color theme="1"/>
        <rFont val="Calibri"/>
        <family val="2"/>
        <scheme val="minor"/>
      </rPr>
      <t>2</t>
    </r>
  </si>
  <si>
    <t>BUCHA DE NYLON SEM ABA S8, COM PARAFUSO DE 4,80 X 50 MM EM ACO ZINCADO COM ROSCA SOBERBA, CABECA CHATA</t>
  </si>
  <si>
    <t>TERMINAL AEREO EM ACO GALVANIZADO DN 5/16", COMPRIMENTO DE 350MM, COM BASE DE FIXACAO HORIZONTAL</t>
  </si>
  <si>
    <t>BARRA CHATA DE ALUMÍNIO 7/8" x 1/8" x 3M</t>
  </si>
  <si>
    <r>
      <t xml:space="preserve">TAMPÃO DE FERRO FUNDIDO </t>
    </r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= 300mm</t>
    </r>
  </si>
  <si>
    <r>
      <t xml:space="preserve">CAIXA DE INSPEÇÃO PARA ATERRAMENTO, CIRCULAR, EM POLIETILENO,              </t>
    </r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>= 0,3 M</t>
    </r>
  </si>
  <si>
    <r>
      <t>CONECTOR METALICO TIPO PARAFUSO FENDIDO (SPLIT BOLT), PARA CABOS ATE 35 MM</t>
    </r>
    <r>
      <rPr>
        <vertAlign val="superscript"/>
        <sz val="11"/>
        <color theme="1"/>
        <rFont val="Calibri"/>
        <family val="2"/>
        <scheme val="minor"/>
      </rPr>
      <t>2</t>
    </r>
  </si>
  <si>
    <t>CONECTOR FIXADOR UNIVERSAL</t>
  </si>
  <si>
    <r>
      <t>TERMINAL DE COMPRESSÃO PARA CABO DE 50MM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</si>
  <si>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CABO SINTENAX FLEX 0,6/1,0KV - 35MM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FORNECIMENTO E INSTALAÇÃO</t>
    </r>
  </si>
  <si>
    <r>
      <t>CABO SINTENAX FLEX 450/750V - 4MM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FORNECIMENTO E INSTALAÇÃO</t>
    </r>
  </si>
  <si>
    <r>
      <t>TERMINAL DE PRESSÃO PARA CABO DE 4MM</t>
    </r>
    <r>
      <rPr>
        <vertAlign val="superscript"/>
        <sz val="11"/>
        <color theme="1"/>
        <rFont val="Calibri"/>
        <family val="2"/>
        <scheme val="minor"/>
      </rPr>
      <t>2</t>
    </r>
  </si>
  <si>
    <t>PARAFUSO PARA EMENDA DE BARRA CHATA 1/4" x 7/8"</t>
  </si>
  <si>
    <t>PORCA SEXTAVADA DE ALUMÍNIO 1/4"</t>
  </si>
  <si>
    <t>ARRUELA LISA DE ALUMÍNIO 1/4"</t>
  </si>
  <si>
    <t>CAIXA DE INSPEÇÃO SUSPENSA EM POLIPROPILENO</t>
  </si>
  <si>
    <t>CONECTOR DE MEDIÇÃO DE ATERRAMENTO</t>
  </si>
  <si>
    <t>ELETRODUTO DE PVC RIGIDO ROSCAVEL DE 1 ", SEM LUVA</t>
  </si>
  <si>
    <t>ABRACADEIRA EM ACO PARA AMARRACAO DE ELETRODUTOS, TIPO D, COM 1" E PARAFUSO DE FIXACAO</t>
  </si>
  <si>
    <t>BARRA DE EQUIPOTENCIALIZAÇÃO</t>
  </si>
  <si>
    <t>CAPTOR TIPO FRANKLIN PARA SPDA - FORNECIMENTO E INSTALAÇÃO</t>
  </si>
  <si>
    <t>SINALIZADOR NOTURNO DUPLO COM FOTOCÉLULA</t>
  </si>
  <si>
    <t>MASTRO 1 ½  PARA SPDA - FORNECIMENTO E INSTALAÇÃO</t>
  </si>
  <si>
    <t>BASE METÁLICA PARA MASTRO 1 ½  PARA SPDA - FORNECIMENTO E INSTALAÇÃO</t>
  </si>
  <si>
    <t>ABRAÇADEIRA GUIA REFORÇADA SIMPLES DE  1 1/2"</t>
  </si>
  <si>
    <t>ABRAÇADEIRA GUIA REFORÇADA DUPLAS DE  1 1/2"</t>
  </si>
  <si>
    <t>CONJUNTO DE ESTAIO PARA MASTRO DE  1 1/2"</t>
  </si>
  <si>
    <t>MOLDE PARA SOLDA EXORTÉMICA MCDH 50-50-3</t>
  </si>
  <si>
    <t>CARTUCHO PARA SOLDA EXOTÉRMICA Nº90</t>
  </si>
  <si>
    <t>ALICATE GRANDE PARA MOLDE DE SOLDA EXOTÉRMICA</t>
  </si>
  <si>
    <t>SILICONE ACETICO USO GERAL INCOLOR 280 G</t>
  </si>
  <si>
    <t>DISPOSITIVO DPS CLASSE II, 1 POLO, TENSAO MAXIMA DE 275 V, CORRENTE MAXIMA DE 20 KA (TIPO AC)</t>
  </si>
  <si>
    <t>ESCAVAÇÃO MANUAL DE VALA COM PROFUNDIDADE MENOR OU IGUAL A 1,30 M</t>
  </si>
  <si>
    <t>LAUDO TÉCNICO DE ATERRAMENTO CONFORME NORMA ABNT NBR 5419</t>
  </si>
  <si>
    <t>TOTAL SEM BDI</t>
  </si>
  <si>
    <t>SERVIÇOS</t>
  </si>
  <si>
    <t>PERÍODO</t>
  </si>
  <si>
    <t>ACOMULADO</t>
  </si>
  <si>
    <t>1ª 30 dias</t>
  </si>
  <si>
    <t>2ª 60 dias</t>
  </si>
  <si>
    <t>3ª 90 dias</t>
  </si>
  <si>
    <t>SERVIÇOS PRELIMINARES</t>
  </si>
  <si>
    <t>TOTAL MENSAL</t>
  </si>
  <si>
    <t>VALOR TOTAL MENSAL</t>
  </si>
  <si>
    <t xml:space="preserve">DEMOLIÇÃO DE CALÇADA, DE FORMA MCANIZADA COM MARTELETE, SEM REAPROVEITAMENTO </t>
  </si>
  <si>
    <t>M3</t>
  </si>
  <si>
    <t>EXECUÇÃO DE PASSEIO (CALÇADA) OU PISO DE CONCRETO COM CONCRETO MOLDADO IN LOCO, USINADO, ACABAMENTO CONVENCIONAL, ESPESSURA 8 CM, ARMADO. AF_07/2016</t>
  </si>
  <si>
    <t>CREA-DF</t>
  </si>
  <si>
    <t>CREA</t>
  </si>
  <si>
    <t>M²</t>
  </si>
  <si>
    <t>LOCACAO DE CONTAINER 2,30 X 6,00 M, ALT. 2,50 M, PARA ESCRITORIO, SEM DIVISORIAS INTERNAS E SEM SANITARIO</t>
  </si>
  <si>
    <t>ORSE</t>
  </si>
  <si>
    <t>BDI 25,79%</t>
  </si>
  <si>
    <t>INSTALAÇÃO DE CORDOALHAS E MASTROS NA COBERTURA</t>
  </si>
  <si>
    <t>INSTALAÇÃO DE DESCIDAS E PONTOS DE MEDIÇÃO SUSPENSOS</t>
  </si>
  <si>
    <t xml:space="preserve">ESCAVAÇÃO E INSTALAÇÃO DE CORDOALHA ENTERRADA </t>
  </si>
  <si>
    <t>INSTALAÇÃO DE BEP E ATERRAMENTOS INTERNOS</t>
  </si>
  <si>
    <t>FECHAMENTO DE VALAS E RECOMPOSIÇÃO DE CALÇADAS</t>
  </si>
  <si>
    <t>INSTALAÇÃO DE DPS NOS QUADROS ELÉTRICOS</t>
  </si>
  <si>
    <t>VALOR TOTAL SEM BDI</t>
  </si>
  <si>
    <t>MINISTÉRIO DA INFRAESTRUTURA</t>
  </si>
  <si>
    <t>Secretaria Executiva</t>
  </si>
  <si>
    <t>Subsecretaria de Planejamento, Orçamento e Administração</t>
  </si>
  <si>
    <t>Coordenação Geral de Recursos Logísticos</t>
  </si>
  <si>
    <t>Coordenação de Logística</t>
  </si>
  <si>
    <t xml:space="preserve">Divisão de Engenharia </t>
  </si>
  <si>
    <t>Serviços de Projetos e Obras</t>
  </si>
  <si>
    <t>PROCESSO : 50000.032207/2020-73</t>
  </si>
  <si>
    <t>OBJETO: CONTRATAÇÃO DE EMPRESA PARA A INSTALAÇÃO COMPLETA DE SISTEMA DE PROTEÇÃO CONTRA DESCARGAS ATMOSFÉRICAS - SPDA.</t>
  </si>
  <si>
    <t>PLANILHA CRONOGRAMA FÍSICO-FINANCEIRO</t>
  </si>
  <si>
    <t>Dezembro/2020-1</t>
  </si>
  <si>
    <t>MÃO DE OBRA PARA INSTALAÇÃO E TESTES - SPDA E DE 252 DPS CLASSE II</t>
  </si>
  <si>
    <t>ANEXO III</t>
  </si>
  <si>
    <t>1.0</t>
  </si>
  <si>
    <t>1.1</t>
  </si>
  <si>
    <t>1.2</t>
  </si>
  <si>
    <t>1.3</t>
  </si>
  <si>
    <t>ADMINISTRAÇÃO DA OBRA</t>
  </si>
  <si>
    <t>CONTAINER E EQUIPAMETOS DE ELEVAÇÃO</t>
  </si>
  <si>
    <t>1.1.1</t>
  </si>
  <si>
    <t>1.2.1</t>
  </si>
  <si>
    <t>1.2.2</t>
  </si>
  <si>
    <t>1.3.1</t>
  </si>
  <si>
    <t>1.3.2</t>
  </si>
  <si>
    <t>TAXAS</t>
  </si>
  <si>
    <t>2.0</t>
  </si>
  <si>
    <t>2.1</t>
  </si>
  <si>
    <t>SERVIÇO DE INSTALAÇÃO DO SISTEMA DE PROTEÇÃO CONTRA DESCARGAS ATMOSFÉRICAS - SPDA</t>
  </si>
  <si>
    <t>SERVIÇO DE ESCAVAÇÃO E INSTALAÇÃO DE CORDOALHA ENTERRADA</t>
  </si>
  <si>
    <t>2.2</t>
  </si>
  <si>
    <t>2.3</t>
  </si>
  <si>
    <t xml:space="preserve">SERVIÇO DE INSTALAÇÃO DE BEP E ATERRAMENTOS </t>
  </si>
  <si>
    <t>SERVIÇO DE INSTALAÇÃO DAS CORDOALHAS E MASTOS</t>
  </si>
  <si>
    <t>SERVIÇO DE INSTALAÇÃO DE DESCIDAS E PONTOS DE MEDIÇÃO</t>
  </si>
  <si>
    <t>SERVIÇO DE FECHAMENTO DAS VALAS E RECOPOSIÇÃO DA CALÇADA</t>
  </si>
  <si>
    <t>SERVIÇO DE INSTALAÇÃO DOS DISPOSITIVOS DPS E LAUDO TÉCNICO</t>
  </si>
  <si>
    <t>3.1</t>
  </si>
  <si>
    <t>3.2</t>
  </si>
  <si>
    <t>3.3</t>
  </si>
  <si>
    <t>3.4</t>
  </si>
  <si>
    <t>3.5</t>
  </si>
  <si>
    <t>3.6</t>
  </si>
  <si>
    <t>3.7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</si>
  <si>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</si>
  <si>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</si>
  <si>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</si>
  <si>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</si>
  <si>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</si>
  <si>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</si>
  <si>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</si>
  <si>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</si>
  <si>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</si>
  <si>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</si>
  <si>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</si>
  <si>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</si>
  <si>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</si>
  <si>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</si>
  <si>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</si>
  <si>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</si>
  <si>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</si>
  <si>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</si>
  <si>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</si>
  <si>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</si>
  <si>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6.0</t>
  </si>
  <si>
    <t>6.1</t>
  </si>
  <si>
    <t>7.0</t>
  </si>
  <si>
    <t>7.1</t>
  </si>
  <si>
    <t>7.2</t>
  </si>
  <si>
    <t>7.3</t>
  </si>
  <si>
    <t>3.0</t>
  </si>
  <si>
    <t>2.4</t>
  </si>
  <si>
    <t>2.5</t>
  </si>
  <si>
    <t>2.6</t>
  </si>
  <si>
    <t>2.7</t>
  </si>
  <si>
    <t>2.8</t>
  </si>
  <si>
    <t>2.9</t>
  </si>
  <si>
    <t>2.10</t>
  </si>
  <si>
    <t>ANEXO V</t>
  </si>
  <si>
    <t>PLANILHA ESTIMATIVA DE CUSTOS E FORMAÇÃO DE PREÇOS</t>
  </si>
  <si>
    <t>Participação individual (%)</t>
  </si>
  <si>
    <t>Participação acumulada (%)</t>
  </si>
  <si>
    <t>Classificação</t>
  </si>
  <si>
    <t>Classe</t>
  </si>
  <si>
    <t>Corte</t>
  </si>
  <si>
    <t>Proporção</t>
  </si>
  <si>
    <t>Proporção valor</t>
  </si>
  <si>
    <t>A</t>
  </si>
  <si>
    <t>B</t>
  </si>
  <si>
    <t>C</t>
  </si>
  <si>
    <t>PLANILHA ESTIMATIVA DE CUSTOS E CURVA ABC</t>
  </si>
  <si>
    <t>PRESILHA DE LATÃO, L=20MM, PARA FIXAÇÃO DE CABOS DE COBRE, FURO D=5MM, PARA CABOS 16MM² A 25MM², REF:TEL-743 OU SIMILAR (SPDA)</t>
  </si>
  <si>
    <t>SINALIZADOR DUPLO (LUZ DE TOPO) C/RELÉ FOTOCELULA EM MASTRO GALVANIZADO D=3/4" INCLUSIVE BASE DE CONCRETO, EXCETO FIAÇÃO</t>
  </si>
  <si>
    <t>CANTONEIRA DE FERRO "L" ABAS IGUAIS - 3/4" X X 1/8" REFORÇADA COM BARRA CHATA 7/8" X 1/4"</t>
  </si>
  <si>
    <t>CONECTOR DE MEDIÇÃO EM BRONZE C/4 PARAFUSOS P/CABOS DE COBRE 16-70MM² REF.TEL-560 (PÁRA-RAIO)</t>
  </si>
  <si>
    <t>TAMPA REFORÇADA EM FERRO FUNDIDO D=300MM, C/ESCOTILHA QUADRADA E ARTICULADA, P/CX.ATERRAMENTO, REF:TEL-536 OU SIMILAR (SPDA)</t>
  </si>
  <si>
    <t>CÓDIGO ORIGEM</t>
  </si>
  <si>
    <t>TOTAL</t>
  </si>
  <si>
    <t>-</t>
  </si>
  <si>
    <t>COTAÇÃO</t>
  </si>
  <si>
    <t>VALOR UNITÁRIO</t>
  </si>
  <si>
    <t>PARTICIPAÇÃO INDIVIDUAL</t>
  </si>
  <si>
    <t>PARTICIPAÇÃO ACUMULADA</t>
  </si>
  <si>
    <t>CLASSE</t>
  </si>
  <si>
    <t>CLASSIFICAÇÃO</t>
  </si>
  <si>
    <t>CORTE</t>
  </si>
  <si>
    <t>PROPORÇÃO</t>
  </si>
  <si>
    <t>PROPORÇÃO DE VALOR</t>
  </si>
  <si>
    <t>Data de criação:</t>
  </si>
  <si>
    <t>Serviço:</t>
  </si>
  <si>
    <t>Data Revisão</t>
  </si>
  <si>
    <t>BDI</t>
  </si>
  <si>
    <t>Serviço de fornecimento e instalação de sistema de proteção contra descargas atmosféricas - SPDA</t>
  </si>
  <si>
    <t>Justificativa para o não uso do SINAPI:</t>
  </si>
  <si>
    <t>1 Não consta no SINAPI. Valor retirado da tabela do CREA.</t>
  </si>
  <si>
    <t>3 Não consta no SINAPI. Utilizado valores cotados com fornecedores.</t>
  </si>
  <si>
    <t>2 Não consta no SINAPI. Valor retirado da tabela ORSE SET/2021.</t>
  </si>
  <si>
    <t>RESPONSÁVEL PELO ORÇAMENTO</t>
  </si>
  <si>
    <t>BRASÍLIA , 29 de setembro de 2021</t>
  </si>
  <si>
    <t>I →  Incidência de tributos (PIS, COFINS e ISS)</t>
  </si>
  <si>
    <t>L →  Taxa de Lucro/Remuneração</t>
  </si>
  <si>
    <t>DF →  Despesas Financeiras</t>
  </si>
  <si>
    <t>G →  Garantia</t>
  </si>
  <si>
    <t xml:space="preserve">R →  Taxa de Riscos </t>
  </si>
  <si>
    <t>S  →  Seguro garantia do empreendimento</t>
  </si>
  <si>
    <t>AC →  Administração Central</t>
  </si>
  <si>
    <t/>
  </si>
  <si>
    <t>Segundo Acórdão 2622/2013 do Tribunal de Contas da União – TCU, o cálculo do BDI deve ser feito utilizando a seguinte fórmula:</t>
  </si>
  <si>
    <t>TAXA TOTAL DE BDI</t>
  </si>
  <si>
    <t>Lucro</t>
  </si>
  <si>
    <t>LUCRO</t>
  </si>
  <si>
    <t>ISS - Imposto Sobre Serviços de Qualquer Natureza</t>
  </si>
  <si>
    <t xml:space="preserve">PIS - Programas de Integração Social </t>
  </si>
  <si>
    <t xml:space="preserve">COFINS - Contribuição para o Financiamento da Seguridade Social </t>
  </si>
  <si>
    <t>TRIBUTOS</t>
  </si>
  <si>
    <t>ADMINISTRAÇÃO CENTRAL</t>
  </si>
  <si>
    <t>1.5</t>
  </si>
  <si>
    <t>DESPESAS FINANCEIRAS</t>
  </si>
  <si>
    <t>RISCO</t>
  </si>
  <si>
    <t>GARANTIA + SEGURO</t>
  </si>
  <si>
    <t>Despesas Indiretas</t>
  </si>
  <si>
    <t>%</t>
  </si>
  <si>
    <t>CONTRATAÇÃO DE EMPRESA PARA A INSTALAÇÃO COMPLETA DE SISTEMA DE PROTEÇÃO CONTRA DESCARGAS ATMOSFÉRICAS - SPDA.</t>
  </si>
  <si>
    <t>OBJETO :</t>
  </si>
  <si>
    <t>50000.032207/2020-73</t>
  </si>
  <si>
    <t>PROCESSO:</t>
  </si>
  <si>
    <t>PLANILHA DE COMPOSIÇÃO DE BDI</t>
  </si>
  <si>
    <t>ANEXO IV</t>
  </si>
  <si>
    <t>Serviço de Projetos e Obras</t>
  </si>
  <si>
    <t>Divisão de Engenharia</t>
  </si>
  <si>
    <t xml:space="preserve">Coordenação Logística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</si>
</sst>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</cellStyleXfs>
  <cellXfs count="33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14" xfId="0" applyNumberFormat="1" applyBorder="1" applyAlignment="1">
      <alignment horizontal="center" vertical="center" wrapText="1"/>
    </xf>
    <xf numFmtId="166" fontId="0" fillId="0" borderId="2" xfId="0" applyNumberFormat="1" applyBorder="1" applyAlignment="1">
      <alignment horizontal="right" vertical="center" wrapText="1"/>
    </xf>
    <xf numFmtId="10" fontId="0" fillId="3" borderId="14" xfId="0" applyNumberFormat="1" applyFill="1" applyBorder="1" applyAlignment="1">
      <alignment horizontal="center" vertical="center" wrapText="1"/>
    </xf>
    <xf numFmtId="10" fontId="0" fillId="3" borderId="18" xfId="2" applyNumberFormat="1" applyFont="1" applyFill="1" applyBorder="1" applyAlignment="1">
      <alignment horizontal="right" vertical="center" wrapText="1"/>
    </xf>
    <xf numFmtId="166" fontId="0" fillId="0" borderId="18" xfId="0" applyNumberFormat="1" applyBorder="1" applyAlignment="1">
      <alignment horizontal="right" vertical="center" wrapText="1"/>
    </xf>
    <xf numFmtId="9" fontId="0" fillId="3" borderId="18" xfId="2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38" xfId="0" applyNumberFormat="1" applyFont="1" applyFill="1" applyBorder="1" applyAlignment="1">
      <alignment horizontal="center"/>
    </xf>
    <xf numFmtId="164" fontId="6" fillId="2" borderId="39" xfId="0" applyNumberFormat="1" applyFont="1" applyFill="1" applyBorder="1" applyAlignment="1">
      <alignment horizontal="center"/>
    </xf>
    <xf numFmtId="164" fontId="6" fillId="2" borderId="40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0" fillId="0" borderId="0" xfId="0" applyBorder="1" applyAlignment="1">
      <alignment wrapText="1"/>
    </xf>
    <xf numFmtId="44" fontId="0" fillId="0" borderId="0" xfId="3" applyFont="1"/>
    <xf numFmtId="44" fontId="0" fillId="0" borderId="0" xfId="0" applyNumberFormat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10" fontId="0" fillId="0" borderId="38" xfId="2" applyNumberFormat="1" applyFont="1" applyBorder="1" applyAlignment="1">
      <alignment horizontal="center" vertical="center"/>
    </xf>
    <xf numFmtId="10" fontId="0" fillId="0" borderId="49" xfId="2" applyNumberFormat="1" applyFont="1" applyBorder="1" applyAlignment="1">
      <alignment horizontal="center" vertical="center"/>
    </xf>
    <xf numFmtId="10" fontId="0" fillId="0" borderId="33" xfId="2" applyNumberFormat="1" applyFont="1" applyBorder="1" applyAlignment="1">
      <alignment horizontal="center" vertical="center"/>
    </xf>
    <xf numFmtId="10" fontId="0" fillId="0" borderId="38" xfId="0" applyNumberFormat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4" borderId="41" xfId="0" applyFont="1" applyFill="1" applyBorder="1"/>
    <xf numFmtId="0" fontId="9" fillId="4" borderId="42" xfId="0" applyFont="1" applyFill="1" applyBorder="1"/>
    <xf numFmtId="0" fontId="0" fillId="2" borderId="48" xfId="0" applyFill="1" applyBorder="1"/>
    <xf numFmtId="0" fontId="0" fillId="2" borderId="0" xfId="0" applyFill="1" applyBorder="1"/>
    <xf numFmtId="44" fontId="0" fillId="2" borderId="31" xfId="0" applyNumberFormat="1" applyFill="1" applyBorder="1"/>
    <xf numFmtId="0" fontId="0" fillId="2" borderId="50" xfId="0" applyFill="1" applyBorder="1"/>
    <xf numFmtId="0" fontId="0" fillId="2" borderId="51" xfId="0" applyFill="1" applyBorder="1"/>
    <xf numFmtId="0" fontId="0" fillId="2" borderId="52" xfId="0" applyFill="1" applyBorder="1"/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0" fillId="0" borderId="14" xfId="2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6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56" xfId="0" applyBorder="1"/>
    <xf numFmtId="0" fontId="0" fillId="0" borderId="56" xfId="0" applyFill="1" applyBorder="1" applyAlignment="1">
      <alignment horizontal="left" vertical="center" wrapText="1"/>
    </xf>
    <xf numFmtId="0" fontId="0" fillId="0" borderId="56" xfId="0" applyBorder="1" applyAlignment="1">
      <alignment vertical="center" wrapText="1"/>
    </xf>
    <xf numFmtId="0" fontId="0" fillId="0" borderId="15" xfId="0" applyBorder="1"/>
    <xf numFmtId="0" fontId="0" fillId="0" borderId="56" xfId="0" applyBorder="1" applyAlignment="1" applyProtection="1">
      <alignment horizontal="center" vertical="center"/>
      <protection locked="0"/>
    </xf>
    <xf numFmtId="164" fontId="0" fillId="0" borderId="5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/>
    <xf numFmtId="0" fontId="2" fillId="5" borderId="14" xfId="0" applyFont="1" applyFill="1" applyBorder="1" applyAlignment="1">
      <alignment horizontal="center"/>
    </xf>
    <xf numFmtId="0" fontId="2" fillId="5" borderId="14" xfId="0" applyFont="1" applyFill="1" applyBorder="1"/>
    <xf numFmtId="165" fontId="2" fillId="5" borderId="14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2" fillId="7" borderId="14" xfId="0" applyFont="1" applyFill="1" applyBorder="1"/>
    <xf numFmtId="165" fontId="0" fillId="7" borderId="14" xfId="0" applyNumberForma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" fillId="8" borderId="14" xfId="0" applyFont="1" applyFill="1" applyBorder="1"/>
    <xf numFmtId="165" fontId="0" fillId="8" borderId="14" xfId="0" applyNumberFormat="1" applyFill="1" applyBorder="1" applyAlignment="1">
      <alignment horizontal="center"/>
    </xf>
    <xf numFmtId="164" fontId="0" fillId="8" borderId="14" xfId="0" applyNumberFormat="1" applyFill="1" applyBorder="1" applyAlignment="1">
      <alignment horizontal="center"/>
    </xf>
    <xf numFmtId="0" fontId="2" fillId="8" borderId="14" xfId="0" applyFont="1" applyFill="1" applyBorder="1" applyAlignment="1">
      <alignment wrapText="1"/>
    </xf>
    <xf numFmtId="0" fontId="2" fillId="8" borderId="14" xfId="0" applyFont="1" applyFill="1" applyBorder="1" applyAlignment="1">
      <alignment horizontal="center"/>
    </xf>
    <xf numFmtId="164" fontId="2" fillId="8" borderId="14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164" fontId="0" fillId="0" borderId="19" xfId="0" applyNumberFormat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56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9" xfId="0" applyFill="1" applyBorder="1" applyAlignment="1">
      <alignment vertical="center"/>
    </xf>
    <xf numFmtId="164" fontId="10" fillId="0" borderId="56" xfId="0" applyNumberFormat="1" applyFont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/>
    </xf>
    <xf numFmtId="2" fontId="0" fillId="8" borderId="14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56" xfId="0" applyNumberForma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/>
    </xf>
    <xf numFmtId="2" fontId="2" fillId="8" borderId="14" xfId="0" applyNumberFormat="1" applyFont="1" applyFill="1" applyBorder="1" applyAlignment="1">
      <alignment horizontal="center"/>
    </xf>
    <xf numFmtId="2" fontId="0" fillId="3" borderId="14" xfId="0" applyNumberFormat="1" applyFill="1" applyBorder="1" applyAlignment="1">
      <alignment horizontal="center" vertical="center"/>
    </xf>
    <xf numFmtId="2" fontId="0" fillId="3" borderId="56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6" fillId="9" borderId="1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 wrapText="1"/>
    </xf>
    <xf numFmtId="165" fontId="6" fillId="9" borderId="14" xfId="0" applyNumberFormat="1" applyFont="1" applyFill="1" applyBorder="1" applyAlignment="1">
      <alignment horizontal="center" vertical="center"/>
    </xf>
    <xf numFmtId="164" fontId="6" fillId="9" borderId="14" xfId="0" applyNumberFormat="1" applyFont="1" applyFill="1" applyBorder="1" applyAlignment="1">
      <alignment horizontal="center" vertical="center"/>
    </xf>
    <xf numFmtId="164" fontId="6" fillId="9" borderId="14" xfId="0" applyNumberFormat="1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vertical="center"/>
    </xf>
    <xf numFmtId="0" fontId="6" fillId="6" borderId="55" xfId="0" applyFont="1" applyFill="1" applyBorder="1" applyAlignment="1">
      <alignment horizontal="center" vertical="center"/>
    </xf>
    <xf numFmtId="164" fontId="6" fillId="6" borderId="55" xfId="0" applyNumberFormat="1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/>
    </xf>
    <xf numFmtId="0" fontId="0" fillId="0" borderId="0" xfId="0" applyFill="1"/>
    <xf numFmtId="44" fontId="0" fillId="0" borderId="0" xfId="0" applyNumberFormat="1" applyFill="1"/>
    <xf numFmtId="0" fontId="0" fillId="0" borderId="30" xfId="0" applyFill="1" applyBorder="1" applyAlignment="1">
      <alignment vertical="center" wrapText="1"/>
    </xf>
    <xf numFmtId="2" fontId="0" fillId="3" borderId="30" xfId="0" applyNumberFormat="1" applyFill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19" xfId="2" applyNumberFormat="1" applyFont="1" applyBorder="1" applyAlignment="1">
      <alignment horizontal="center" vertical="center"/>
    </xf>
    <xf numFmtId="10" fontId="0" fillId="0" borderId="56" xfId="2" applyNumberFormat="1" applyFont="1" applyBorder="1" applyAlignment="1">
      <alignment horizontal="center" vertical="center"/>
    </xf>
    <xf numFmtId="10" fontId="0" fillId="0" borderId="15" xfId="2" applyNumberFormat="1" applyFont="1" applyBorder="1" applyAlignment="1">
      <alignment horizontal="center" vertical="center"/>
    </xf>
    <xf numFmtId="0" fontId="9" fillId="0" borderId="0" xfId="0" applyFont="1" applyFill="1" applyBorder="1"/>
    <xf numFmtId="10" fontId="0" fillId="0" borderId="19" xfId="3" applyNumberFormat="1" applyFont="1" applyBorder="1" applyAlignment="1">
      <alignment horizontal="center" vertical="center"/>
    </xf>
    <xf numFmtId="10" fontId="0" fillId="0" borderId="56" xfId="3" applyNumberFormat="1" applyFont="1" applyBorder="1" applyAlignment="1">
      <alignment horizontal="center" vertical="center"/>
    </xf>
    <xf numFmtId="10" fontId="0" fillId="0" borderId="15" xfId="3" applyNumberFormat="1" applyFont="1" applyBorder="1" applyAlignment="1">
      <alignment horizontal="center" vertical="center"/>
    </xf>
    <xf numFmtId="10" fontId="0" fillId="0" borderId="27" xfId="2" applyNumberFormat="1" applyFont="1" applyBorder="1" applyAlignment="1">
      <alignment horizontal="center" vertical="center"/>
    </xf>
    <xf numFmtId="10" fontId="0" fillId="0" borderId="30" xfId="2" applyNumberFormat="1" applyFont="1" applyBorder="1" applyAlignment="1">
      <alignment horizontal="center" vertical="center"/>
    </xf>
    <xf numFmtId="44" fontId="0" fillId="0" borderId="13" xfId="3" applyFont="1" applyBorder="1" applyAlignment="1">
      <alignment horizontal="center" vertical="center"/>
    </xf>
    <xf numFmtId="44" fontId="0" fillId="0" borderId="29" xfId="3" applyFont="1" applyBorder="1" applyAlignment="1">
      <alignment horizontal="center" vertical="center"/>
    </xf>
    <xf numFmtId="44" fontId="0" fillId="0" borderId="17" xfId="3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vertical="center"/>
    </xf>
    <xf numFmtId="0" fontId="6" fillId="6" borderId="30" xfId="0" applyFont="1" applyFill="1" applyBorder="1" applyAlignment="1">
      <alignment horizontal="center" vertical="center"/>
    </xf>
    <xf numFmtId="164" fontId="6" fillId="6" borderId="30" xfId="0" applyNumberFormat="1" applyFont="1" applyFill="1" applyBorder="1" applyAlignment="1">
      <alignment horizontal="center" vertical="center"/>
    </xf>
    <xf numFmtId="10" fontId="0" fillId="0" borderId="29" xfId="3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2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3" borderId="0" xfId="0" applyNumberFormat="1" applyFill="1" applyBorder="1" applyAlignment="1">
      <alignment horizontal="center"/>
    </xf>
    <xf numFmtId="0" fontId="0" fillId="0" borderId="27" xfId="0" applyBorder="1" applyAlignment="1">
      <alignment vertical="center" wrapText="1"/>
    </xf>
    <xf numFmtId="0" fontId="0" fillId="0" borderId="30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2" fontId="0" fillId="3" borderId="27" xfId="0" applyNumberFormat="1" applyFill="1" applyBorder="1" applyAlignment="1">
      <alignment horizontal="center" vertical="center"/>
    </xf>
    <xf numFmtId="10" fontId="0" fillId="0" borderId="13" xfId="3" applyNumberFormat="1" applyFont="1" applyBorder="1" applyAlignment="1">
      <alignment horizontal="center" vertical="center"/>
    </xf>
    <xf numFmtId="10" fontId="0" fillId="0" borderId="17" xfId="3" applyNumberFormat="1" applyFont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44" fontId="6" fillId="6" borderId="5" xfId="0" applyNumberFormat="1" applyFont="1" applyFill="1" applyBorder="1" applyAlignment="1">
      <alignment horizontal="right" vertical="top" wrapText="1"/>
    </xf>
    <xf numFmtId="166" fontId="6" fillId="6" borderId="5" xfId="0" applyNumberFormat="1" applyFont="1" applyFill="1" applyBorder="1" applyAlignment="1">
      <alignment horizontal="center" vertical="center" wrapText="1"/>
    </xf>
    <xf numFmtId="166" fontId="6" fillId="6" borderId="32" xfId="0" applyNumberFormat="1" applyFont="1" applyFill="1" applyBorder="1" applyAlignment="1">
      <alignment horizontal="center" vertical="center" wrapText="1"/>
    </xf>
    <xf numFmtId="9" fontId="6" fillId="6" borderId="10" xfId="0" applyNumberFormat="1" applyFont="1" applyFill="1" applyBorder="1" applyAlignment="1">
      <alignment horizontal="right" vertical="top" wrapText="1"/>
    </xf>
    <xf numFmtId="164" fontId="6" fillId="6" borderId="16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6" fillId="9" borderId="14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6" fillId="6" borderId="0" xfId="0" applyFont="1" applyFill="1" applyAlignment="1">
      <alignment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 wrapText="1"/>
    </xf>
    <xf numFmtId="165" fontId="6" fillId="6" borderId="56" xfId="0" applyNumberFormat="1" applyFont="1" applyFill="1" applyBorder="1" applyAlignment="1">
      <alignment horizontal="center" vertical="center"/>
    </xf>
    <xf numFmtId="164" fontId="6" fillId="6" borderId="56" xfId="0" applyNumberFormat="1" applyFont="1" applyFill="1" applyBorder="1" applyAlignment="1">
      <alignment horizontal="center" vertical="center" wrapText="1"/>
    </xf>
    <xf numFmtId="164" fontId="6" fillId="6" borderId="56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44" fontId="6" fillId="6" borderId="15" xfId="0" applyNumberFormat="1" applyFont="1" applyFill="1" applyBorder="1" applyAlignment="1">
      <alignment horizontal="center" vertical="center" wrapText="1"/>
    </xf>
    <xf numFmtId="44" fontId="6" fillId="6" borderId="15" xfId="0" applyNumberFormat="1" applyFont="1" applyFill="1" applyBorder="1" applyAlignment="1">
      <alignment vertical="center"/>
    </xf>
    <xf numFmtId="0" fontId="0" fillId="0" borderId="27" xfId="0" applyBorder="1"/>
    <xf numFmtId="0" fontId="0" fillId="0" borderId="13" xfId="0" applyBorder="1"/>
    <xf numFmtId="0" fontId="0" fillId="0" borderId="29" xfId="0" applyBorder="1"/>
    <xf numFmtId="0" fontId="0" fillId="0" borderId="30" xfId="0" applyBorder="1"/>
    <xf numFmtId="0" fontId="0" fillId="0" borderId="17" xfId="0" applyBorder="1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17" fontId="0" fillId="0" borderId="17" xfId="0" applyNumberFormat="1" applyBorder="1" applyAlignment="1">
      <alignment horizontal="center"/>
    </xf>
    <xf numFmtId="14" fontId="0" fillId="0" borderId="14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15" xfId="0" applyNumberForma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top" wrapText="1"/>
    </xf>
    <xf numFmtId="0" fontId="6" fillId="6" borderId="22" xfId="0" applyFont="1" applyFill="1" applyBorder="1" applyAlignment="1">
      <alignment horizontal="center" vertical="top" wrapText="1"/>
    </xf>
    <xf numFmtId="0" fontId="6" fillId="6" borderId="23" xfId="0" applyFont="1" applyFill="1" applyBorder="1" applyAlignment="1">
      <alignment horizontal="center" vertical="top" wrapText="1"/>
    </xf>
    <xf numFmtId="0" fontId="6" fillId="6" borderId="24" xfId="0" applyFont="1" applyFill="1" applyBorder="1" applyAlignment="1">
      <alignment horizontal="center" vertical="top" wrapText="1"/>
    </xf>
    <xf numFmtId="0" fontId="6" fillId="6" borderId="25" xfId="0" applyFont="1" applyFill="1" applyBorder="1" applyAlignment="1">
      <alignment horizontal="center" vertical="top" wrapText="1"/>
    </xf>
    <xf numFmtId="0" fontId="6" fillId="6" borderId="26" xfId="0" applyFont="1" applyFill="1" applyBorder="1" applyAlignment="1">
      <alignment horizontal="center" vertical="top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66" fontId="0" fillId="0" borderId="11" xfId="0" applyNumberForma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1" fillId="0" borderId="0" xfId="4" applyFont="1" applyAlignment="1">
      <alignment wrapText="1"/>
    </xf>
    <xf numFmtId="0" fontId="11" fillId="0" borderId="0" xfId="4" applyFont="1" applyAlignment="1">
      <alignment horizontal="center" vertical="center" wrapText="1"/>
    </xf>
    <xf numFmtId="0" fontId="4" fillId="0" borderId="0" xfId="5" applyFont="1" applyAlignment="1">
      <alignment vertical="center" wrapText="1"/>
    </xf>
    <xf numFmtId="0" fontId="4" fillId="0" borderId="0" xfId="5" applyFont="1" applyAlignment="1">
      <alignment wrapText="1"/>
    </xf>
    <xf numFmtId="0" fontId="4" fillId="0" borderId="0" xfId="5" applyFont="1" applyAlignment="1">
      <alignment horizontal="center" vertical="center" wrapText="1"/>
    </xf>
    <xf numFmtId="0" fontId="4" fillId="0" borderId="0" xfId="5" quotePrefix="1" applyFont="1" applyAlignment="1">
      <alignment wrapText="1"/>
    </xf>
    <xf numFmtId="0" fontId="4" fillId="0" borderId="0" xfId="5" quotePrefix="1" applyFont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0" fontId="11" fillId="0" borderId="0" xfId="5" applyFont="1" applyAlignment="1">
      <alignment vertical="center" wrapText="1"/>
    </xf>
    <xf numFmtId="0" fontId="11" fillId="0" borderId="0" xfId="5" applyFont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10" fontId="0" fillId="0" borderId="0" xfId="0" applyNumberFormat="1" applyAlignment="1">
      <alignment wrapText="1"/>
    </xf>
    <xf numFmtId="10" fontId="12" fillId="10" borderId="0" xfId="5" applyNumberFormat="1" applyFont="1" applyFill="1" applyAlignment="1">
      <alignment wrapText="1"/>
    </xf>
    <xf numFmtId="10" fontId="13" fillId="11" borderId="37" xfId="5" applyNumberFormat="1" applyFont="1" applyFill="1" applyBorder="1" applyAlignment="1">
      <alignment horizontal="center" vertical="center" wrapText="1"/>
    </xf>
    <xf numFmtId="0" fontId="13" fillId="11" borderId="36" xfId="5" applyFont="1" applyFill="1" applyBorder="1" applyAlignment="1">
      <alignment horizontal="left" vertical="center" wrapText="1"/>
    </xf>
    <xf numFmtId="0" fontId="13" fillId="11" borderId="35" xfId="5" applyFont="1" applyFill="1" applyBorder="1" applyAlignment="1">
      <alignment horizontal="center" vertical="center" wrapText="1"/>
    </xf>
    <xf numFmtId="10" fontId="4" fillId="0" borderId="0" xfId="5" applyNumberFormat="1" applyFont="1" applyAlignment="1">
      <alignment wrapText="1"/>
    </xf>
    <xf numFmtId="10" fontId="4" fillId="0" borderId="19" xfId="5" applyNumberFormat="1" applyFont="1" applyBorder="1" applyAlignment="1">
      <alignment horizontal="center" vertical="center" wrapText="1"/>
    </xf>
    <xf numFmtId="0" fontId="4" fillId="0" borderId="19" xfId="5" applyFont="1" applyBorder="1" applyAlignment="1">
      <alignment vertical="center" wrapText="1"/>
    </xf>
    <xf numFmtId="0" fontId="4" fillId="0" borderId="19" xfId="5" applyFont="1" applyBorder="1" applyAlignment="1">
      <alignment horizontal="center" vertical="center" wrapText="1"/>
    </xf>
    <xf numFmtId="10" fontId="4" fillId="0" borderId="14" xfId="5" applyNumberFormat="1" applyFont="1" applyBorder="1" applyAlignment="1">
      <alignment horizontal="center" vertical="center" wrapText="1"/>
    </xf>
    <xf numFmtId="0" fontId="4" fillId="0" borderId="14" xfId="5" applyFont="1" applyBorder="1" applyAlignment="1">
      <alignment vertical="center" wrapText="1"/>
    </xf>
    <xf numFmtId="0" fontId="4" fillId="0" borderId="14" xfId="5" applyFont="1" applyBorder="1" applyAlignment="1">
      <alignment horizontal="center" vertical="center" wrapText="1"/>
    </xf>
    <xf numFmtId="10" fontId="12" fillId="0" borderId="0" xfId="5" applyNumberFormat="1" applyFont="1" applyAlignment="1">
      <alignment wrapText="1"/>
    </xf>
    <xf numFmtId="10" fontId="12" fillId="5" borderId="14" xfId="5" applyNumberFormat="1" applyFont="1" applyFill="1" applyBorder="1" applyAlignment="1">
      <alignment horizontal="center" vertical="center" wrapText="1"/>
    </xf>
    <xf numFmtId="0" fontId="12" fillId="5" borderId="14" xfId="5" applyFont="1" applyFill="1" applyBorder="1" applyAlignment="1">
      <alignment horizontal="left" vertical="center" wrapText="1"/>
    </xf>
    <xf numFmtId="0" fontId="12" fillId="5" borderId="14" xfId="5" applyFont="1" applyFill="1" applyBorder="1" applyAlignment="1">
      <alignment horizontal="center" vertical="center" wrapText="1"/>
    </xf>
    <xf numFmtId="10" fontId="12" fillId="5" borderId="15" xfId="5" applyNumberFormat="1" applyFont="1" applyFill="1" applyBorder="1" applyAlignment="1">
      <alignment horizontal="center" vertical="center" wrapText="1"/>
    </xf>
    <xf numFmtId="0" fontId="12" fillId="5" borderId="15" xfId="5" applyFont="1" applyFill="1" applyBorder="1" applyAlignment="1">
      <alignment horizontal="left" vertical="center" wrapText="1"/>
    </xf>
    <xf numFmtId="0" fontId="12" fillId="5" borderId="15" xfId="5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wrapText="1"/>
    </xf>
    <xf numFmtId="0" fontId="6" fillId="11" borderId="37" xfId="0" applyFont="1" applyFill="1" applyBorder="1" applyAlignment="1">
      <alignment horizontal="center" vertical="center" wrapText="1"/>
    </xf>
    <xf numFmtId="0" fontId="13" fillId="11" borderId="36" xfId="5" applyFont="1" applyFill="1" applyBorder="1" applyAlignment="1">
      <alignment horizontal="center" vertical="center" wrapText="1"/>
    </xf>
    <xf numFmtId="44" fontId="0" fillId="0" borderId="0" xfId="3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Moeda" xfId="3" builtinId="4"/>
    <cellStyle name="Normal" xfId="0" builtinId="0"/>
    <cellStyle name="Normal 2" xfId="1" xr:uid="{00000000-0005-0000-0000-000001000000}"/>
    <cellStyle name="Normal 2 2" xfId="5" xr:uid="{D25C8601-CF71-42F7-A230-928ED93215A9}"/>
    <cellStyle name="Normal 4" xfId="4" xr:uid="{F5EA2018-E5FB-47A3-8E30-F771B8ED9745}"/>
    <cellStyle name="Porcentagem" xfId="2" builtinId="5"/>
  </cellStyles>
  <dxfs count="8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3" tint="-0.249977111117893"/>
        </patternFill>
      </fill>
      <border diagonalUp="0" diagonalDown="0" outline="0">
        <left/>
        <right/>
        <top style="medium">
          <color indexed="64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3" tint="-0.249977111117893"/>
        </patternFill>
      </fill>
      <border diagonalUp="0" diagonalDown="0" outline="0">
        <left/>
        <right/>
        <top style="medium">
          <color indexed="64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3" tint="-0.249977111117893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numFmt numFmtId="164" formatCode="_-[$R$-416]\ * #,##0.00_-;\-[$R$-416]\ * #,##0.00_-;_-[$R$-416]\ * &quot;-&quot;??_-;_-@_-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numFmt numFmtId="164" formatCode="_-[$R$-416]\ * #,##0.00_-;\-[$R$-416]\ * #,##0.00_-;_-[$R$-416]\ * &quot;-&quot;??_-;_-@_-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numFmt numFmtId="165" formatCode="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16365C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164" formatCode="_-[$R$-416]\ * #,##0.00_-;\-[$R$-416]\ * #,##0.00_-;_-[$R$-416]\ 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_-[$R$-416]\ * #,##0.00_-;\-[$R$-416]\ * #,##0.00_-;_-[$R$-416]\ 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R$-416]\ * #,##0.00_-;\-[$R$-416]\ * #,##0.00_-;_-[$R$-416]\ * &quot;-&quot;??_-;_-@_-"/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5" formatCode="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538DD5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vertical="center" textRotation="0" wrapText="0" indent="0" justifyLastLine="0" shrinkToFit="0" readingOrder="0"/>
    </dxf>
    <dxf>
      <numFmt numFmtId="164" formatCode="_-[$R$-416]\ * #,##0.00_-;\-[$R$-416]\ * #,##0.00_-;_-[$R$-416]\ 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4" formatCode="_-[$R$-416]\ * #,##0.00_-;\-[$R$-416]\ * #,##0.00_-;_-[$R$-416]\ * &quot;-&quot;??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numFmt numFmtId="165" formatCode="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CURVA ABC DE INSUMOS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'SPDA - CURVA ABC'!$I$19</c:f>
              <c:strCache>
                <c:ptCount val="1"/>
                <c:pt idx="0">
                  <c:v>PARTICIPAÇÃO INDIVIDUAL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'SPDA - CURVA ABC'!$A$20:$A$63</c:f>
              <c:strCache>
                <c:ptCount val="44"/>
                <c:pt idx="0">
                  <c:v>2.1</c:v>
                </c:pt>
                <c:pt idx="1">
                  <c:v>7.3</c:v>
                </c:pt>
                <c:pt idx="2">
                  <c:v>1.3.1</c:v>
                </c:pt>
                <c:pt idx="3">
                  <c:v>5.1</c:v>
                </c:pt>
                <c:pt idx="4">
                  <c:v>7.1</c:v>
                </c:pt>
                <c:pt idx="5">
                  <c:v>4.1</c:v>
                </c:pt>
                <c:pt idx="6">
                  <c:v>1.3.2</c:v>
                </c:pt>
                <c:pt idx="7">
                  <c:v>4.6</c:v>
                </c:pt>
                <c:pt idx="8">
                  <c:v>6.1</c:v>
                </c:pt>
                <c:pt idx="9">
                  <c:v>5.2</c:v>
                </c:pt>
                <c:pt idx="10">
                  <c:v>4.3</c:v>
                </c:pt>
                <c:pt idx="11">
                  <c:v>3.1</c:v>
                </c:pt>
                <c:pt idx="12">
                  <c:v>7.2</c:v>
                </c:pt>
                <c:pt idx="13">
                  <c:v>1.2.2</c:v>
                </c:pt>
                <c:pt idx="14">
                  <c:v>2.5</c:v>
                </c:pt>
                <c:pt idx="15">
                  <c:v>5.5</c:v>
                </c:pt>
                <c:pt idx="16">
                  <c:v>1.2.1</c:v>
                </c:pt>
                <c:pt idx="17">
                  <c:v>2.3</c:v>
                </c:pt>
                <c:pt idx="18">
                  <c:v>4.2</c:v>
                </c:pt>
                <c:pt idx="19">
                  <c:v>4.5</c:v>
                </c:pt>
                <c:pt idx="20">
                  <c:v>5.3</c:v>
                </c:pt>
                <c:pt idx="21">
                  <c:v>5.4</c:v>
                </c:pt>
                <c:pt idx="22">
                  <c:v>3.5</c:v>
                </c:pt>
                <c:pt idx="23">
                  <c:v>2.8</c:v>
                </c:pt>
                <c:pt idx="24">
                  <c:v>4.7</c:v>
                </c:pt>
                <c:pt idx="25">
                  <c:v>4.9</c:v>
                </c:pt>
                <c:pt idx="26">
                  <c:v>2.6</c:v>
                </c:pt>
                <c:pt idx="27">
                  <c:v>2.4</c:v>
                </c:pt>
                <c:pt idx="28">
                  <c:v>2.7</c:v>
                </c:pt>
                <c:pt idx="29">
                  <c:v>5.8</c:v>
                </c:pt>
                <c:pt idx="30">
                  <c:v>5.6</c:v>
                </c:pt>
                <c:pt idx="31">
                  <c:v>2.2</c:v>
                </c:pt>
                <c:pt idx="32">
                  <c:v>1.1.1</c:v>
                </c:pt>
                <c:pt idx="33">
                  <c:v>3.7</c:v>
                </c:pt>
                <c:pt idx="34">
                  <c:v>4.8</c:v>
                </c:pt>
                <c:pt idx="35">
                  <c:v>2.10</c:v>
                </c:pt>
                <c:pt idx="36">
                  <c:v>3.6</c:v>
                </c:pt>
                <c:pt idx="37">
                  <c:v>2.9</c:v>
                </c:pt>
                <c:pt idx="38">
                  <c:v>4.4</c:v>
                </c:pt>
                <c:pt idx="39">
                  <c:v>4.10</c:v>
                </c:pt>
                <c:pt idx="40">
                  <c:v>5.7</c:v>
                </c:pt>
                <c:pt idx="41">
                  <c:v>3.3</c:v>
                </c:pt>
                <c:pt idx="42">
                  <c:v>3.2</c:v>
                </c:pt>
                <c:pt idx="43">
                  <c:v>3.4</c:v>
                </c:pt>
              </c:strCache>
            </c:strRef>
          </c:cat>
          <c:val>
            <c:numRef>
              <c:f>'SPDA - CURVA ABC'!$I$20:$I$63</c:f>
              <c:numCache>
                <c:formatCode>0.00%</c:formatCode>
                <c:ptCount val="44"/>
                <c:pt idx="0">
                  <c:v>0.20991233707631815</c:v>
                </c:pt>
                <c:pt idx="1">
                  <c:v>0.1916232664252383</c:v>
                </c:pt>
                <c:pt idx="2">
                  <c:v>0.13503696755285446</c:v>
                </c:pt>
                <c:pt idx="3">
                  <c:v>8.4568106396404011E-2</c:v>
                </c:pt>
                <c:pt idx="4">
                  <c:v>7.5361377620297876E-2</c:v>
                </c:pt>
                <c:pt idx="5">
                  <c:v>6.9923796744108049E-2</c:v>
                </c:pt>
                <c:pt idx="6">
                  <c:v>3.9262687876509106E-2</c:v>
                </c:pt>
                <c:pt idx="7">
                  <c:v>3.0039389791057861E-2</c:v>
                </c:pt>
                <c:pt idx="8">
                  <c:v>2.9655036139855439E-2</c:v>
                </c:pt>
                <c:pt idx="9">
                  <c:v>1.5870569674604259E-2</c:v>
                </c:pt>
                <c:pt idx="10">
                  <c:v>1.5277109278840023E-2</c:v>
                </c:pt>
                <c:pt idx="11">
                  <c:v>1.166779105369206E-2</c:v>
                </c:pt>
                <c:pt idx="12">
                  <c:v>1.123978022280755E-2</c:v>
                </c:pt>
                <c:pt idx="13">
                  <c:v>8.1224271780118758E-3</c:v>
                </c:pt>
                <c:pt idx="14">
                  <c:v>7.885829804321778E-3</c:v>
                </c:pt>
                <c:pt idx="15">
                  <c:v>7.0136228590319113E-3</c:v>
                </c:pt>
                <c:pt idx="16">
                  <c:v>6.350475825886266E-3</c:v>
                </c:pt>
                <c:pt idx="17">
                  <c:v>6.144413188468127E-3</c:v>
                </c:pt>
                <c:pt idx="18">
                  <c:v>5.1864841860123157E-3</c:v>
                </c:pt>
                <c:pt idx="19">
                  <c:v>5.1864841860123157E-3</c:v>
                </c:pt>
                <c:pt idx="20">
                  <c:v>3.7653263746405298E-3</c:v>
                </c:pt>
                <c:pt idx="21">
                  <c:v>3.4760144317054625E-3</c:v>
                </c:pt>
                <c:pt idx="22">
                  <c:v>3.192097583277344E-3</c:v>
                </c:pt>
                <c:pt idx="23">
                  <c:v>3.7648767834316168E-3</c:v>
                </c:pt>
                <c:pt idx="24">
                  <c:v>2.6085881396036982E-3</c:v>
                </c:pt>
                <c:pt idx="25">
                  <c:v>2.24795604456151E-3</c:v>
                </c:pt>
                <c:pt idx="26">
                  <c:v>2.1054356313363102E-3</c:v>
                </c:pt>
                <c:pt idx="27">
                  <c:v>1.7617980839910075E-3</c:v>
                </c:pt>
                <c:pt idx="28">
                  <c:v>1.4252041322519971E-3</c:v>
                </c:pt>
                <c:pt idx="29">
                  <c:v>1.4158751146670671E-3</c:v>
                </c:pt>
                <c:pt idx="30">
                  <c:v>1.0102314464259425E-3</c:v>
                </c:pt>
                <c:pt idx="31">
                  <c:v>9.7448894531741465E-4</c:v>
                </c:pt>
                <c:pt idx="32">
                  <c:v>8.7647806177453273E-4</c:v>
                </c:pt>
                <c:pt idx="33">
                  <c:v>8.1188679142746539E-4</c:v>
                </c:pt>
                <c:pt idx="34">
                  <c:v>8.021081826336228E-4</c:v>
                </c:pt>
                <c:pt idx="35">
                  <c:v>9.3709794310954143E-4</c:v>
                </c:pt>
                <c:pt idx="36">
                  <c:v>5.9286094081902226E-4</c:v>
                </c:pt>
                <c:pt idx="37">
                  <c:v>1.076471217872355E-3</c:v>
                </c:pt>
                <c:pt idx="38">
                  <c:v>4.1272472978149321E-4</c:v>
                </c:pt>
                <c:pt idx="39">
                  <c:v>4.8836845068098806E-4</c:v>
                </c:pt>
                <c:pt idx="40">
                  <c:v>3.4168931877334946E-4</c:v>
                </c:pt>
                <c:pt idx="41">
                  <c:v>3.3719340668422651E-4</c:v>
                </c:pt>
                <c:pt idx="42">
                  <c:v>1.348773626736906E-4</c:v>
                </c:pt>
                <c:pt idx="43">
                  <c:v>1.123978022280755E-4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A-4860-B4E3-6E59CB81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474376319"/>
        <c:axId val="474376735"/>
      </c:barChart>
      <c:lineChart>
        <c:grouping val="stacked"/>
        <c:varyColors val="0"/>
        <c:ser>
          <c:idx val="1"/>
          <c:order val="1"/>
          <c:tx>
            <c:strRef>
              <c:f>'SPDA - CURVA ABC'!$J$19</c:f>
              <c:strCache>
                <c:ptCount val="1"/>
                <c:pt idx="0">
                  <c:v> PARTICIPAÇÃO ACUMULADA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'SPDA - CURVA ABC'!$A$20:$A$63</c:f>
              <c:strCache>
                <c:ptCount val="44"/>
                <c:pt idx="0">
                  <c:v>2.1</c:v>
                </c:pt>
                <c:pt idx="1">
                  <c:v>7.3</c:v>
                </c:pt>
                <c:pt idx="2">
                  <c:v>1.3.1</c:v>
                </c:pt>
                <c:pt idx="3">
                  <c:v>5.1</c:v>
                </c:pt>
                <c:pt idx="4">
                  <c:v>7.1</c:v>
                </c:pt>
                <c:pt idx="5">
                  <c:v>4.1</c:v>
                </c:pt>
                <c:pt idx="6">
                  <c:v>1.3.2</c:v>
                </c:pt>
                <c:pt idx="7">
                  <c:v>4.6</c:v>
                </c:pt>
                <c:pt idx="8">
                  <c:v>6.1</c:v>
                </c:pt>
                <c:pt idx="9">
                  <c:v>5.2</c:v>
                </c:pt>
                <c:pt idx="10">
                  <c:v>4.3</c:v>
                </c:pt>
                <c:pt idx="11">
                  <c:v>3.1</c:v>
                </c:pt>
                <c:pt idx="12">
                  <c:v>7.2</c:v>
                </c:pt>
                <c:pt idx="13">
                  <c:v>1.2.2</c:v>
                </c:pt>
                <c:pt idx="14">
                  <c:v>2.5</c:v>
                </c:pt>
                <c:pt idx="15">
                  <c:v>5.5</c:v>
                </c:pt>
                <c:pt idx="16">
                  <c:v>1.2.1</c:v>
                </c:pt>
                <c:pt idx="17">
                  <c:v>2.3</c:v>
                </c:pt>
                <c:pt idx="18">
                  <c:v>4.2</c:v>
                </c:pt>
                <c:pt idx="19">
                  <c:v>4.5</c:v>
                </c:pt>
                <c:pt idx="20">
                  <c:v>5.3</c:v>
                </c:pt>
                <c:pt idx="21">
                  <c:v>5.4</c:v>
                </c:pt>
                <c:pt idx="22">
                  <c:v>3.5</c:v>
                </c:pt>
                <c:pt idx="23">
                  <c:v>2.8</c:v>
                </c:pt>
                <c:pt idx="24">
                  <c:v>4.7</c:v>
                </c:pt>
                <c:pt idx="25">
                  <c:v>4.9</c:v>
                </c:pt>
                <c:pt idx="26">
                  <c:v>2.6</c:v>
                </c:pt>
                <c:pt idx="27">
                  <c:v>2.4</c:v>
                </c:pt>
                <c:pt idx="28">
                  <c:v>2.7</c:v>
                </c:pt>
                <c:pt idx="29">
                  <c:v>5.8</c:v>
                </c:pt>
                <c:pt idx="30">
                  <c:v>5.6</c:v>
                </c:pt>
                <c:pt idx="31">
                  <c:v>2.2</c:v>
                </c:pt>
                <c:pt idx="32">
                  <c:v>1.1.1</c:v>
                </c:pt>
                <c:pt idx="33">
                  <c:v>3.7</c:v>
                </c:pt>
                <c:pt idx="34">
                  <c:v>4.8</c:v>
                </c:pt>
                <c:pt idx="35">
                  <c:v>2.10</c:v>
                </c:pt>
                <c:pt idx="36">
                  <c:v>3.6</c:v>
                </c:pt>
                <c:pt idx="37">
                  <c:v>2.9</c:v>
                </c:pt>
                <c:pt idx="38">
                  <c:v>4.4</c:v>
                </c:pt>
                <c:pt idx="39">
                  <c:v>4.10</c:v>
                </c:pt>
                <c:pt idx="40">
                  <c:v>5.7</c:v>
                </c:pt>
                <c:pt idx="41">
                  <c:v>3.3</c:v>
                </c:pt>
                <c:pt idx="42">
                  <c:v>3.2</c:v>
                </c:pt>
                <c:pt idx="43">
                  <c:v>3.4</c:v>
                </c:pt>
              </c:strCache>
            </c:strRef>
          </c:cat>
          <c:val>
            <c:numRef>
              <c:f>'SPDA - CURVA ABC'!$J$20:$J$63</c:f>
              <c:numCache>
                <c:formatCode>0.00%</c:formatCode>
                <c:ptCount val="44"/>
                <c:pt idx="0">
                  <c:v>0.20991233707631815</c:v>
                </c:pt>
                <c:pt idx="1">
                  <c:v>0.40153560350155648</c:v>
                </c:pt>
                <c:pt idx="2">
                  <c:v>0.53657257105441092</c:v>
                </c:pt>
                <c:pt idx="3">
                  <c:v>0.62114067745081492</c:v>
                </c:pt>
                <c:pt idx="4">
                  <c:v>0.69650205507111274</c:v>
                </c:pt>
                <c:pt idx="5">
                  <c:v>0.76642585181522083</c:v>
                </c:pt>
                <c:pt idx="6">
                  <c:v>0.80568853969172993</c:v>
                </c:pt>
                <c:pt idx="7">
                  <c:v>0.83572792948278785</c:v>
                </c:pt>
                <c:pt idx="8">
                  <c:v>0.86538296562264327</c:v>
                </c:pt>
                <c:pt idx="9">
                  <c:v>0.88125353529724748</c:v>
                </c:pt>
                <c:pt idx="10">
                  <c:v>0.89653064457608755</c:v>
                </c:pt>
                <c:pt idx="11">
                  <c:v>0.90819843562977964</c:v>
                </c:pt>
                <c:pt idx="12">
                  <c:v>0.91943821585258723</c:v>
                </c:pt>
                <c:pt idx="13">
                  <c:v>0.92756064303059915</c:v>
                </c:pt>
                <c:pt idx="14">
                  <c:v>0.93544647283492088</c:v>
                </c:pt>
                <c:pt idx="15">
                  <c:v>0.94246009569395284</c:v>
                </c:pt>
                <c:pt idx="16">
                  <c:v>0.94881057151983905</c:v>
                </c:pt>
                <c:pt idx="17">
                  <c:v>0.9549549847083072</c:v>
                </c:pt>
                <c:pt idx="18">
                  <c:v>0.96014146889431951</c:v>
                </c:pt>
                <c:pt idx="19">
                  <c:v>0.96532795308033181</c:v>
                </c:pt>
                <c:pt idx="20">
                  <c:v>0.96909327945497237</c:v>
                </c:pt>
                <c:pt idx="21">
                  <c:v>0.97256929388667779</c:v>
                </c:pt>
                <c:pt idx="22">
                  <c:v>0.97576139146995511</c:v>
                </c:pt>
                <c:pt idx="23">
                  <c:v>0.97952626825338673</c:v>
                </c:pt>
                <c:pt idx="24">
                  <c:v>0.98213485639299047</c:v>
                </c:pt>
                <c:pt idx="25">
                  <c:v>0.98438281243755199</c:v>
                </c:pt>
                <c:pt idx="26">
                  <c:v>0.98648824806888835</c:v>
                </c:pt>
                <c:pt idx="27">
                  <c:v>0.98825004615287937</c:v>
                </c:pt>
                <c:pt idx="28">
                  <c:v>0.98967525028513137</c:v>
                </c:pt>
                <c:pt idx="29">
                  <c:v>0.99109112539979849</c:v>
                </c:pt>
                <c:pt idx="30">
                  <c:v>0.99210135684622447</c:v>
                </c:pt>
                <c:pt idx="31">
                  <c:v>0.99307584579154184</c:v>
                </c:pt>
                <c:pt idx="32">
                  <c:v>0.99395232385331633</c:v>
                </c:pt>
                <c:pt idx="33">
                  <c:v>0.99476421064474385</c:v>
                </c:pt>
                <c:pt idx="34">
                  <c:v>0.99556631882737745</c:v>
                </c:pt>
                <c:pt idx="35">
                  <c:v>0.99650341677048704</c:v>
                </c:pt>
                <c:pt idx="36">
                  <c:v>0.99709627771130604</c:v>
                </c:pt>
                <c:pt idx="37">
                  <c:v>0.9981727489291784</c:v>
                </c:pt>
                <c:pt idx="38">
                  <c:v>0.99858547365895989</c:v>
                </c:pt>
                <c:pt idx="39">
                  <c:v>0.9990738421096409</c:v>
                </c:pt>
                <c:pt idx="40">
                  <c:v>0.99941553142841422</c:v>
                </c:pt>
                <c:pt idx="41">
                  <c:v>0.99975272483509847</c:v>
                </c:pt>
                <c:pt idx="42">
                  <c:v>0.99988760219777217</c:v>
                </c:pt>
                <c:pt idx="43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A-4860-B4E3-6E59CB81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76319"/>
        <c:axId val="474376735"/>
      </c:lineChart>
      <c:catAx>
        <c:axId val="474376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376735"/>
        <c:crosses val="autoZero"/>
        <c:auto val="1"/>
        <c:lblAlgn val="ctr"/>
        <c:lblOffset val="100"/>
        <c:noMultiLvlLbl val="0"/>
      </c:catAx>
      <c:valAx>
        <c:axId val="47437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37631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5829300</xdr:colOff>
      <xdr:row>0</xdr:row>
      <xdr:rowOff>85725</xdr:rowOff>
    </xdr:from>
    <xdr:to>
      <xdr:col>1</xdr:col>
      <xdr:colOff>6657975</xdr:colOff>
      <xdr:row>0</xdr:row>
      <xdr:rowOff>1085850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BE407D-BCC3-440A-8B9A-4737EBB85E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85725"/>
          <a:ext cx="828675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66</xdr:row>
      <xdr:rowOff>85725</xdr:rowOff>
    </xdr:from>
    <xdr:to>
      <xdr:col>10</xdr:col>
      <xdr:colOff>1171575</xdr:colOff>
      <xdr:row>100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F27F79-6804-4DFE-9353-2343A0D3D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1771650</xdr:colOff>
      <xdr:row>0</xdr:row>
      <xdr:rowOff>0</xdr:rowOff>
    </xdr:from>
    <xdr:to>
      <xdr:col>5</xdr:col>
      <xdr:colOff>552450</xdr:colOff>
      <xdr:row>0</xdr:row>
      <xdr:rowOff>1000125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AAF3B3-CEEA-48FE-8752-66C27ECAFB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0"/>
          <a:ext cx="828675" cy="1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35</xdr:row>
      <xdr:rowOff>133350</xdr:rowOff>
    </xdr:from>
    <xdr:to>
      <xdr:col>1</xdr:col>
      <xdr:colOff>3585670</xdr:colOff>
      <xdr:row>37</xdr:row>
      <xdr:rowOff>66675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9A165F7-9145-4CAF-A4B4-A48B2A43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800850"/>
          <a:ext cx="44242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1619250</xdr:colOff>
      <xdr:row>0</xdr:row>
      <xdr:rowOff>114300</xdr:rowOff>
    </xdr:from>
    <xdr:ext cx="828675" cy="1000125"/>
    <xdr:pic>
      <xdr:nvPicPr>
        <xdr:cNvPr id="3" name="Imagem 2">
          <a:extLst>
            <a:ext uri="{FF2B5EF4-FFF2-40B4-BE49-F238E27FC236}">
              <a16:creationId xmlns:a16="http://schemas.microsoft.com/office/drawing/2014/main" id="{BCB77936-3E0A-4118-B576-B59F762813B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14300"/>
          <a:ext cx="828675" cy="10001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2C31BA-BFD6-4180-A444-5433BAB2D6D8}" name="Tabela1" displayName="Tabela1" ref="A22:H79" totalsRowCount="1" headerRowDxfId="80" totalsRowDxfId="79" totalsRowBorderDxfId="78">
  <autoFilter ref="A22:H78" xr:uid="{7FEB1A43-F534-4BCC-AE7E-4D56DD0CAF58}"/>
  <tableColumns count="8">
    <tableColumn id="1" xr3:uid="{9690AC68-3531-4061-B2ED-89390D930AEA}" name="ITEM" dataDxfId="77" totalsRowDxfId="13"/>
    <tableColumn id="2" xr3:uid="{09659344-2416-4D94-98D9-A10538DE9C9E}" name="DESCRIÇÃO" totalsRowLabel="TOTAL SEM BDI" dataDxfId="76" totalsRowDxfId="12"/>
    <tableColumn id="3" xr3:uid="{FBADD66D-3488-413A-B558-EA3FFB4094A9}" name="FONTE" dataDxfId="75" totalsRowDxfId="11"/>
    <tableColumn id="8" xr3:uid="{063B57CC-A9AE-4DBE-8A6F-3E993D7E04E0}" name="CÓDIGO ORIGEM" dataDxfId="74" totalsRowDxfId="10"/>
    <tableColumn id="4" xr3:uid="{FFA2096D-0EE6-4ABD-A0CC-95A317916E16}" name="UNIDADE" dataDxfId="73" totalsRowDxfId="9"/>
    <tableColumn id="5" xr3:uid="{1DE0B7E6-A1E8-4819-AD1E-47FE367A1DF7}" name="QUANT." dataDxfId="72" totalsRowDxfId="8"/>
    <tableColumn id="6" xr3:uid="{6C80AED5-E749-48E6-BAB9-D3E985CEBD30}" name="VALOR UNITÁRIO" dataDxfId="71" totalsRowDxfId="7"/>
    <tableColumn id="7" xr3:uid="{0F738D7B-D2D3-4230-8675-62FE594BE63F}" name="TOTAL" totalsRowFunction="sum" dataDxfId="70" totalsRow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DE438B-2DC7-41A6-937C-BDA07C511E22}" name="Tabela14" displayName="Tabela14" ref="A19:O64" totalsRowCount="1" headerRowDxfId="69" totalsRowDxfId="68" totalsRowBorderDxfId="67">
  <autoFilter ref="A19:O63" xr:uid="{CDDE438B-2DC7-41A6-937C-BDA07C511E22}"/>
  <sortState xmlns:xlrd2="http://schemas.microsoft.com/office/spreadsheetml/2017/richdata2" ref="A20:H63">
    <sortCondition descending="1" ref="H20:H63"/>
  </sortState>
  <tableColumns count="15">
    <tableColumn id="1" xr3:uid="{968D62A3-7E5C-41B4-A0D2-BD319A0BAACB}" name="ITEM" dataDxfId="66" totalsRowDxfId="65"/>
    <tableColumn id="2" xr3:uid="{43DD4B73-3A2C-4745-BB44-8AFD657F7806}" name="DESCRIÇÃO" totalsRowLabel="TOTAL SEM BDI" dataDxfId="64" totalsRowDxfId="63"/>
    <tableColumn id="3" xr3:uid="{A7C3DACB-AD8C-41E4-BF08-BD29A5A49AED}" name="FONTE" dataDxfId="62" totalsRowDxfId="61"/>
    <tableColumn id="8" xr3:uid="{A75A10F3-64A7-4EAA-BF19-E78250F90A14}" name="CÓDIGO ORIGEM" dataDxfId="60" totalsRowDxfId="59"/>
    <tableColumn id="4" xr3:uid="{711893F9-794F-4F0E-8A38-52DA9E9D82EF}" name="UNIDADE" dataDxfId="58" totalsRowDxfId="57"/>
    <tableColumn id="5" xr3:uid="{80861348-59C4-40D3-A64A-2D5B3F7720B1}" name="QUANT." dataDxfId="56" totalsRowDxfId="55"/>
    <tableColumn id="6" xr3:uid="{3E294D13-FCFE-4E11-AD5D-AF0428B60D06}" name="VALOR UNITÁRIO" dataDxfId="54" totalsRowDxfId="53"/>
    <tableColumn id="7" xr3:uid="{D3EE8819-56BF-44F6-97EF-5C91C0650D61}" name="TOTAL" totalsRowFunction="sum" dataDxfId="52" totalsRowDxfId="51"/>
    <tableColumn id="9" xr3:uid="{EDE70FB2-480D-4989-924F-3DC371701DC0}" name="PARTICIPAÇÃO INDIVIDUAL" dataDxfId="50" totalsRowDxfId="49">
      <calculatedColumnFormula>Tabela14[[#This Row],[TOTAL]]/Tabela14[[#Totals],[TOTAL]]</calculatedColumnFormula>
    </tableColumn>
    <tableColumn id="10" xr3:uid="{5D939A8A-9AEA-4E2C-BBBD-D488BC796E3B}" name="PARTICIPAÇÃO ACUMULADA" dataDxfId="48" totalsRowDxfId="47"/>
    <tableColumn id="11" xr3:uid="{67C3458F-DD98-4DCD-89FD-2BFEC8190047}" name="CLASSIFICAÇÃO" dataDxfId="46" totalsRowDxfId="45">
      <calculatedColumnFormula>IF(J20&lt;=$M$20,"A",IF(J20&lt;=$M$21,"B","C"))</calculatedColumnFormula>
    </tableColumn>
    <tableColumn id="12" xr3:uid="{27A8F862-A1FB-4F1D-A768-79F9D24174B9}" name="CLASSE" totalsRowDxfId="44"/>
    <tableColumn id="13" xr3:uid="{32498ECE-64F4-4982-8921-DB5C4C27E824}" name="CORTE" totalsRowDxfId="43"/>
    <tableColumn id="14" xr3:uid="{35D6FF1E-D072-4E3E-988C-03A1EFCF2E32}" name="PROPORÇÃO" totalsRowDxfId="42"/>
    <tableColumn id="15" xr3:uid="{45EA389D-0537-45FA-941E-C13288EC41C0}" name="PROPORÇÃO DE VALOR" totalsRowDxfId="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D26853-162C-4110-AA80-2E3987C1EF03}" name="Tabela13" displayName="Tabela13" ref="A19:O64" totalsRowCount="1" headerRowDxfId="40" totalsRowDxfId="39">
  <autoFilter ref="A19:O63" xr:uid="{7FEB1A43-F534-4BCC-AE7E-4D56DD0CAF58}"/>
  <tableColumns count="15">
    <tableColumn id="1" xr3:uid="{A9EF65FE-DEFC-4B3F-AC91-FD4179C07E0C}" name="ITEM" dataDxfId="38" totalsRowDxfId="37"/>
    <tableColumn id="2" xr3:uid="{EEFDDBFC-ABBB-4621-8064-636348E020AE}" name="DESCRIÇÃO" totalsRowLabel="TOTAL SEM BDI" totalsRowDxfId="36"/>
    <tableColumn id="3" xr3:uid="{19A28BA3-536A-4DC9-966C-216691F04816}" name="FONTE" dataDxfId="35" totalsRowDxfId="34"/>
    <tableColumn id="8" xr3:uid="{DF2F0B4F-2C3C-4D34-B551-CE8F1DD09D2C}" name="CÓDIGO SINAPI" dataDxfId="33" totalsRowDxfId="32"/>
    <tableColumn id="4" xr3:uid="{AC2FB237-9C94-407C-8A3A-46CF26556F62}" name="UNIDADE" dataDxfId="31" totalsRowDxfId="30"/>
    <tableColumn id="5" xr3:uid="{F7725027-FFFB-4816-B6C5-10238A849926}" name="QUANT." dataDxfId="29" totalsRowDxfId="28"/>
    <tableColumn id="6" xr3:uid="{145D7DFC-2712-4065-A591-A0C5317FA2F6}" name="VALOR UNI." dataDxfId="27" totalsRowDxfId="26"/>
    <tableColumn id="7" xr3:uid="{FF1C7B51-CD1D-4474-BCF4-23532A799E21}" name="VALOR TOTAL" totalsRowFunction="sum" dataDxfId="25" totalsRowDxfId="24"/>
    <tableColumn id="9" xr3:uid="{1E409365-0FAE-43FC-8FB3-FAEF414706AD}" name="Participação individual (%)" dataDxfId="23" totalsRowDxfId="22"/>
    <tableColumn id="10" xr3:uid="{273F97C3-333A-43E4-8445-C56CB167AE5D}" name="Participação acumulada (%)" dataDxfId="21" totalsRowDxfId="20"/>
    <tableColumn id="11" xr3:uid="{B12444D3-E92F-4E71-81C5-E1557B35B827}" name="Classificação" dataDxfId="19" totalsRowDxfId="18">
      <calculatedColumnFormula>IF(J20&lt;=$M$20,"A",IF(J20&lt;=$M$21,"B","C"))</calculatedColumnFormula>
    </tableColumn>
    <tableColumn id="14" xr3:uid="{5B93DC77-F7E3-4CD3-9075-D102837D1CEA}" name="Classe" dataDxfId="17"/>
    <tableColumn id="15" xr3:uid="{D50F2A83-A7D0-4618-9FB2-DFC82699068D}" name="Corte" dataDxfId="16"/>
    <tableColumn id="16" xr3:uid="{1E4AFDF4-78BB-4A26-9EB8-866048B4B15A}" name="Proporção" dataDxfId="15"/>
    <tableColumn id="17" xr3:uid="{3285033B-9B84-46ED-A95A-7674759C458E}" name="Proporção valor" dataDxfId="1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4204-5EA8-4273-A55C-8B40700E0CD9}">
  <dimension ref="A1:M85"/>
  <sheetViews>
    <sheetView showGridLines="0" tabSelected="1" view="pageBreakPreview" zoomScaleNormal="100" zoomScaleSheetLayoutView="100" workbookViewId="0">
      <selection activeCell="G38" sqref="G38"/>
    </sheetView>
  </sheetViews>
  <sheetFormatPr defaultRowHeight="15" x14ac:dyDescent="0.25"/>
  <cols>
    <col min="1" max="1" width="15" style="1" customWidth="1"/>
    <col min="2" max="2" width="104.140625" customWidth="1"/>
    <col min="3" max="5" width="15.7109375" style="1" customWidth="1"/>
    <col min="6" max="6" width="15.7109375" style="3" customWidth="1"/>
    <col min="7" max="7" width="15.5703125" style="2" customWidth="1"/>
    <col min="8" max="8" width="15.7109375" style="2" customWidth="1"/>
    <col min="10" max="10" width="13.42578125" bestFit="1" customWidth="1"/>
    <col min="11" max="13" width="13.28515625" bestFit="1" customWidth="1"/>
    <col min="14" max="14" width="10.5703125" bestFit="1" customWidth="1"/>
  </cols>
  <sheetData>
    <row r="1" spans="1:8" ht="89.25" customHeight="1" x14ac:dyDescent="0.25">
      <c r="A1" s="218"/>
      <c r="B1" s="219"/>
      <c r="C1" s="219"/>
      <c r="D1" s="219"/>
      <c r="E1" s="219"/>
      <c r="F1" s="219"/>
      <c r="G1" s="219"/>
      <c r="H1" s="220"/>
    </row>
    <row r="2" spans="1:8" x14ac:dyDescent="0.25">
      <c r="A2" s="214" t="s">
        <v>86</v>
      </c>
      <c r="B2" s="215"/>
      <c r="C2" s="215"/>
      <c r="D2" s="215"/>
      <c r="E2" s="215"/>
      <c r="F2" s="215"/>
      <c r="G2" s="215"/>
      <c r="H2" s="216"/>
    </row>
    <row r="3" spans="1:8" x14ac:dyDescent="0.25">
      <c r="A3" s="214" t="s">
        <v>87</v>
      </c>
      <c r="B3" s="215"/>
      <c r="C3" s="215"/>
      <c r="D3" s="215"/>
      <c r="E3" s="215"/>
      <c r="F3" s="215"/>
      <c r="G3" s="215"/>
      <c r="H3" s="216"/>
    </row>
    <row r="4" spans="1:8" x14ac:dyDescent="0.25">
      <c r="A4" s="214" t="s">
        <v>88</v>
      </c>
      <c r="B4" s="215"/>
      <c r="C4" s="215"/>
      <c r="D4" s="215"/>
      <c r="E4" s="215"/>
      <c r="F4" s="215"/>
      <c r="G4" s="215"/>
      <c r="H4" s="216"/>
    </row>
    <row r="5" spans="1:8" x14ac:dyDescent="0.25">
      <c r="A5" s="214" t="s">
        <v>89</v>
      </c>
      <c r="B5" s="215"/>
      <c r="C5" s="215"/>
      <c r="D5" s="215"/>
      <c r="E5" s="215"/>
      <c r="F5" s="215"/>
      <c r="G5" s="215"/>
      <c r="H5" s="216"/>
    </row>
    <row r="6" spans="1:8" x14ac:dyDescent="0.25">
      <c r="A6" s="214" t="s">
        <v>90</v>
      </c>
      <c r="B6" s="215"/>
      <c r="C6" s="215"/>
      <c r="D6" s="215"/>
      <c r="E6" s="215"/>
      <c r="F6" s="215"/>
      <c r="G6" s="215"/>
      <c r="H6" s="216"/>
    </row>
    <row r="7" spans="1:8" x14ac:dyDescent="0.25">
      <c r="A7" s="214" t="s">
        <v>91</v>
      </c>
      <c r="B7" s="215"/>
      <c r="C7" s="215"/>
      <c r="D7" s="215"/>
      <c r="E7" s="215"/>
      <c r="F7" s="215"/>
      <c r="G7" s="215"/>
      <c r="H7" s="216"/>
    </row>
    <row r="8" spans="1:8" x14ac:dyDescent="0.25">
      <c r="A8" s="214" t="s">
        <v>92</v>
      </c>
      <c r="B8" s="215"/>
      <c r="C8" s="215"/>
      <c r="D8" s="215"/>
      <c r="E8" s="215"/>
      <c r="F8" s="215"/>
      <c r="G8" s="215"/>
      <c r="H8" s="216"/>
    </row>
    <row r="9" spans="1:8" x14ac:dyDescent="0.25">
      <c r="A9" s="214"/>
      <c r="B9" s="215"/>
      <c r="C9" s="215"/>
      <c r="D9" s="215"/>
      <c r="E9" s="215"/>
      <c r="F9" s="215"/>
      <c r="G9" s="215"/>
      <c r="H9" s="216"/>
    </row>
    <row r="10" spans="1:8" x14ac:dyDescent="0.25">
      <c r="A10" s="217" t="s">
        <v>98</v>
      </c>
      <c r="B10" s="215"/>
      <c r="C10" s="215"/>
      <c r="D10" s="215"/>
      <c r="E10" s="215"/>
      <c r="F10" s="215"/>
      <c r="G10" s="215"/>
      <c r="H10" s="216"/>
    </row>
    <row r="11" spans="1:8" x14ac:dyDescent="0.25">
      <c r="A11" s="214"/>
      <c r="B11" s="215"/>
      <c r="C11" s="215"/>
      <c r="D11" s="215"/>
      <c r="E11" s="215"/>
      <c r="F11" s="215"/>
      <c r="G11" s="215"/>
      <c r="H11" s="216"/>
    </row>
    <row r="12" spans="1:8" x14ac:dyDescent="0.25">
      <c r="A12" s="217" t="s">
        <v>164</v>
      </c>
      <c r="B12" s="215"/>
      <c r="C12" s="215"/>
      <c r="D12" s="215"/>
      <c r="E12" s="215"/>
      <c r="F12" s="215"/>
      <c r="G12" s="215"/>
      <c r="H12" s="216"/>
    </row>
    <row r="13" spans="1:8" x14ac:dyDescent="0.25">
      <c r="A13" s="214"/>
      <c r="B13" s="215"/>
      <c r="C13" s="215"/>
      <c r="D13" s="215"/>
      <c r="E13" s="215"/>
      <c r="F13" s="215"/>
      <c r="G13" s="215"/>
      <c r="H13" s="216"/>
    </row>
    <row r="14" spans="1:8" x14ac:dyDescent="0.25">
      <c r="A14" s="221" t="s">
        <v>93</v>
      </c>
      <c r="B14" s="222"/>
      <c r="C14" s="222"/>
      <c r="D14" s="222"/>
      <c r="E14" s="222"/>
      <c r="F14" s="222"/>
      <c r="G14" s="222"/>
      <c r="H14" s="223"/>
    </row>
    <row r="15" spans="1:8" x14ac:dyDescent="0.25">
      <c r="A15" s="214"/>
      <c r="B15" s="215"/>
      <c r="C15" s="215"/>
      <c r="D15" s="215"/>
      <c r="E15" s="215"/>
      <c r="F15" s="215"/>
      <c r="G15" s="215"/>
      <c r="H15" s="216"/>
    </row>
    <row r="16" spans="1:8" x14ac:dyDescent="0.25">
      <c r="A16" s="224" t="s">
        <v>94</v>
      </c>
      <c r="B16" s="225"/>
      <c r="C16" s="225"/>
      <c r="D16" s="225"/>
      <c r="E16" s="225"/>
      <c r="F16" s="225"/>
      <c r="G16" s="225"/>
      <c r="H16" s="226"/>
    </row>
    <row r="17" spans="1:13" x14ac:dyDescent="0.25">
      <c r="A17" s="224"/>
      <c r="B17" s="225"/>
      <c r="C17" s="225"/>
      <c r="D17" s="225"/>
      <c r="E17" s="225"/>
      <c r="F17" s="225"/>
      <c r="G17" s="225"/>
      <c r="H17" s="226"/>
    </row>
    <row r="18" spans="1:13" x14ac:dyDescent="0.25">
      <c r="A18" s="191"/>
      <c r="B18" s="192"/>
      <c r="C18" s="192"/>
      <c r="D18" s="192"/>
      <c r="E18" s="192"/>
      <c r="F18" s="192"/>
      <c r="G18" s="192"/>
      <c r="H18" s="193"/>
    </row>
    <row r="19" spans="1:13" x14ac:dyDescent="0.25">
      <c r="A19" s="231" t="s">
        <v>164</v>
      </c>
      <c r="B19" s="232"/>
      <c r="C19" s="232"/>
      <c r="D19" s="232"/>
      <c r="E19" s="232"/>
      <c r="F19" s="232"/>
      <c r="G19" s="232"/>
      <c r="H19" s="233"/>
    </row>
    <row r="20" spans="1:13" x14ac:dyDescent="0.25">
      <c r="A20" s="208" t="s">
        <v>193</v>
      </c>
      <c r="B20" s="229">
        <v>44432</v>
      </c>
      <c r="C20" s="229"/>
      <c r="D20" s="229"/>
      <c r="E20" s="230"/>
      <c r="F20" s="208" t="s">
        <v>195</v>
      </c>
      <c r="G20" s="211">
        <v>44553</v>
      </c>
      <c r="H20" s="209" t="s">
        <v>2</v>
      </c>
    </row>
    <row r="21" spans="1:13" x14ac:dyDescent="0.25">
      <c r="A21" s="208" t="s">
        <v>194</v>
      </c>
      <c r="B21" s="227" t="s">
        <v>197</v>
      </c>
      <c r="C21" s="227"/>
      <c r="D21" s="227"/>
      <c r="E21" s="228"/>
      <c r="F21" s="208" t="s">
        <v>196</v>
      </c>
      <c r="G21" s="212">
        <v>0.25790000000000002</v>
      </c>
      <c r="H21" s="210">
        <v>44501</v>
      </c>
    </row>
    <row r="22" spans="1:13" ht="30" customHeight="1" x14ac:dyDescent="0.25">
      <c r="A22" s="109" t="s">
        <v>12</v>
      </c>
      <c r="B22" s="110" t="s">
        <v>13</v>
      </c>
      <c r="C22" s="133" t="s">
        <v>14</v>
      </c>
      <c r="D22" s="134" t="s">
        <v>181</v>
      </c>
      <c r="E22" s="133" t="s">
        <v>4</v>
      </c>
      <c r="F22" s="135" t="s">
        <v>15</v>
      </c>
      <c r="G22" s="137" t="s">
        <v>185</v>
      </c>
      <c r="H22" s="136" t="s">
        <v>182</v>
      </c>
      <c r="J22" s="32"/>
      <c r="K22" s="32"/>
      <c r="L22" s="32"/>
      <c r="M22" s="32"/>
    </row>
    <row r="23" spans="1:13" x14ac:dyDescent="0.25">
      <c r="A23" s="92"/>
      <c r="B23" s="93" t="s">
        <v>61</v>
      </c>
      <c r="C23" s="92"/>
      <c r="D23" s="92"/>
      <c r="E23" s="92"/>
      <c r="F23" s="94"/>
      <c r="G23" s="95"/>
      <c r="H23" s="95"/>
      <c r="J23" s="32"/>
      <c r="K23" s="32"/>
      <c r="L23" s="32"/>
      <c r="M23" s="32"/>
    </row>
    <row r="24" spans="1:13" x14ac:dyDescent="0.25">
      <c r="A24" s="96" t="s">
        <v>99</v>
      </c>
      <c r="B24" s="97" t="s">
        <v>67</v>
      </c>
      <c r="C24" s="96"/>
      <c r="D24" s="96"/>
      <c r="E24" s="96"/>
      <c r="F24" s="98"/>
      <c r="G24" s="99"/>
      <c r="H24" s="99"/>
      <c r="J24" s="32"/>
      <c r="K24" s="32"/>
      <c r="L24" s="32"/>
      <c r="M24" s="32"/>
    </row>
    <row r="25" spans="1:13" x14ac:dyDescent="0.25">
      <c r="A25" s="100" t="s">
        <v>100</v>
      </c>
      <c r="B25" s="101" t="s">
        <v>110</v>
      </c>
      <c r="C25" s="100"/>
      <c r="D25" s="100"/>
      <c r="E25" s="100"/>
      <c r="F25" s="102"/>
      <c r="G25" s="103"/>
      <c r="H25" s="103"/>
      <c r="J25" s="32"/>
      <c r="K25" s="32"/>
      <c r="L25" s="32"/>
      <c r="M25" s="32"/>
    </row>
    <row r="26" spans="1:13" x14ac:dyDescent="0.25">
      <c r="A26" s="89" t="s">
        <v>105</v>
      </c>
      <c r="B26" s="91" t="s">
        <v>18</v>
      </c>
      <c r="C26" s="89" t="s">
        <v>73</v>
      </c>
      <c r="D26" s="89" t="s">
        <v>183</v>
      </c>
      <c r="E26" s="89" t="s">
        <v>5</v>
      </c>
      <c r="F26" s="123">
        <v>1</v>
      </c>
      <c r="G26" s="90"/>
      <c r="H26" s="90">
        <f>Tabela1[[#This Row],[VALOR UNITÁRIO]]*Tabela1[[#This Row],[QUANT.]]</f>
        <v>0</v>
      </c>
      <c r="J26" s="32"/>
      <c r="K26" s="32"/>
      <c r="L26" s="32" t="s">
        <v>77</v>
      </c>
      <c r="M26" s="32" t="s">
        <v>96</v>
      </c>
    </row>
    <row r="27" spans="1:13" x14ac:dyDescent="0.25">
      <c r="A27" s="100" t="s">
        <v>101</v>
      </c>
      <c r="B27" s="101" t="s">
        <v>104</v>
      </c>
      <c r="C27" s="100"/>
      <c r="D27" s="100"/>
      <c r="E27" s="100"/>
      <c r="F27" s="124"/>
      <c r="G27" s="103"/>
      <c r="H27" s="103"/>
      <c r="J27" s="32"/>
      <c r="K27" s="32"/>
      <c r="L27" s="32"/>
      <c r="M27" s="32"/>
    </row>
    <row r="28" spans="1:13" x14ac:dyDescent="0.25">
      <c r="A28" s="111" t="s">
        <v>106</v>
      </c>
      <c r="B28" s="119" t="s">
        <v>19</v>
      </c>
      <c r="C28" s="111" t="s">
        <v>2</v>
      </c>
      <c r="D28" s="111">
        <v>41805</v>
      </c>
      <c r="E28" s="111" t="s">
        <v>9</v>
      </c>
      <c r="F28" s="125">
        <v>3</v>
      </c>
      <c r="G28" s="113"/>
      <c r="H28" s="113">
        <f>Tabela1[[#This Row],[VALOR UNITÁRIO]]*Tabela1[[#This Row],[QUANT.]]</f>
        <v>0</v>
      </c>
      <c r="J28" s="32"/>
      <c r="K28" s="32"/>
      <c r="L28" s="32" t="s">
        <v>3</v>
      </c>
      <c r="M28" s="32"/>
    </row>
    <row r="29" spans="1:13" ht="18" customHeight="1" x14ac:dyDescent="0.25">
      <c r="A29" s="75" t="s">
        <v>107</v>
      </c>
      <c r="B29" s="120" t="s">
        <v>76</v>
      </c>
      <c r="C29" s="75" t="s">
        <v>2</v>
      </c>
      <c r="D29" s="75">
        <v>10776</v>
      </c>
      <c r="E29" s="75" t="s">
        <v>9</v>
      </c>
      <c r="F29" s="126">
        <v>3</v>
      </c>
      <c r="G29" s="117"/>
      <c r="H29" s="117">
        <f>Tabela1[[#This Row],[VALOR UNITÁRIO]]*Tabela1[[#This Row],[QUANT.]]</f>
        <v>0</v>
      </c>
      <c r="J29" s="32"/>
      <c r="K29" s="32"/>
      <c r="L29" s="32"/>
      <c r="M29" s="32"/>
    </row>
    <row r="30" spans="1:13" x14ac:dyDescent="0.25">
      <c r="A30" s="100" t="s">
        <v>102</v>
      </c>
      <c r="B30" s="104" t="s">
        <v>103</v>
      </c>
      <c r="C30" s="100"/>
      <c r="D30" s="100"/>
      <c r="E30" s="100"/>
      <c r="F30" s="124"/>
      <c r="G30" s="103"/>
      <c r="H30" s="103"/>
      <c r="J30" s="32"/>
      <c r="K30" s="32"/>
      <c r="L30" s="32"/>
      <c r="M30" s="32"/>
    </row>
    <row r="31" spans="1:13" x14ac:dyDescent="0.25">
      <c r="A31" s="74" t="s">
        <v>108</v>
      </c>
      <c r="B31" s="118" t="s">
        <v>20</v>
      </c>
      <c r="C31" s="74" t="s">
        <v>2</v>
      </c>
      <c r="D31" s="74">
        <v>91677</v>
      </c>
      <c r="E31" s="74" t="s">
        <v>21</v>
      </c>
      <c r="F31" s="127">
        <v>330</v>
      </c>
      <c r="G31" s="84"/>
      <c r="H31" s="84">
        <f>Tabela1[[#This Row],[VALOR UNITÁRIO]]*Tabela1[[#This Row],[QUANT.]]</f>
        <v>0</v>
      </c>
      <c r="J31" s="32"/>
      <c r="K31" s="32"/>
      <c r="L31" s="32" t="s">
        <v>2</v>
      </c>
      <c r="M31" s="32">
        <v>32021</v>
      </c>
    </row>
    <row r="32" spans="1:13" x14ac:dyDescent="0.25">
      <c r="A32" s="74" t="s">
        <v>109</v>
      </c>
      <c r="B32" s="118" t="s">
        <v>23</v>
      </c>
      <c r="C32" s="74" t="s">
        <v>2</v>
      </c>
      <c r="D32" s="74">
        <v>93572</v>
      </c>
      <c r="E32" s="74" t="s">
        <v>9</v>
      </c>
      <c r="F32" s="127">
        <v>3</v>
      </c>
      <c r="G32" s="84"/>
      <c r="H32" s="84">
        <f>Tabela1[[#This Row],[VALOR UNITÁRIO]]*Tabela1[[#This Row],[QUANT.]]</f>
        <v>0</v>
      </c>
      <c r="J32" s="32"/>
      <c r="K32" s="32"/>
      <c r="L32" s="32" t="s">
        <v>74</v>
      </c>
      <c r="M32" s="32"/>
    </row>
    <row r="33" spans="1:13" x14ac:dyDescent="0.25">
      <c r="A33" s="107">
        <v>2</v>
      </c>
      <c r="B33" s="97" t="s">
        <v>113</v>
      </c>
      <c r="C33" s="107"/>
      <c r="D33" s="107"/>
      <c r="E33" s="107"/>
      <c r="F33" s="128"/>
      <c r="G33" s="108"/>
      <c r="H33" s="108"/>
      <c r="J33" s="32"/>
      <c r="K33" s="32"/>
      <c r="L33" s="32"/>
      <c r="M33" s="32"/>
    </row>
    <row r="34" spans="1:13" x14ac:dyDescent="0.25">
      <c r="A34" s="105" t="s">
        <v>111</v>
      </c>
      <c r="B34" s="101" t="s">
        <v>118</v>
      </c>
      <c r="C34" s="105"/>
      <c r="D34" s="105"/>
      <c r="E34" s="105"/>
      <c r="F34" s="129"/>
      <c r="G34" s="106"/>
      <c r="H34" s="106"/>
      <c r="J34" s="32"/>
      <c r="K34" s="32"/>
      <c r="L34" s="32"/>
      <c r="M34" s="32"/>
    </row>
    <row r="35" spans="1:13" ht="17.25" x14ac:dyDescent="0.25">
      <c r="A35" s="74" t="s">
        <v>112</v>
      </c>
      <c r="B35" s="79" t="s">
        <v>24</v>
      </c>
      <c r="C35" s="74" t="s">
        <v>2</v>
      </c>
      <c r="D35" s="74">
        <v>96973</v>
      </c>
      <c r="E35" s="74" t="s">
        <v>6</v>
      </c>
      <c r="F35" s="127">
        <v>1136</v>
      </c>
      <c r="G35" s="84"/>
      <c r="H35" s="84">
        <f>Tabela1[[#This Row],[VALOR UNITÁRIO]]*Tabela1[[#This Row],[QUANT.]]</f>
        <v>0</v>
      </c>
      <c r="J35" s="32"/>
      <c r="K35" s="32"/>
      <c r="L35" s="32"/>
      <c r="M35" s="32"/>
    </row>
    <row r="36" spans="1:13" ht="17.25" x14ac:dyDescent="0.25">
      <c r="A36" s="74" t="s">
        <v>115</v>
      </c>
      <c r="B36" s="79" t="s">
        <v>32</v>
      </c>
      <c r="C36" s="74" t="s">
        <v>2</v>
      </c>
      <c r="D36" s="74">
        <v>11854</v>
      </c>
      <c r="E36" s="74" t="s">
        <v>5</v>
      </c>
      <c r="F36" s="127">
        <v>30</v>
      </c>
      <c r="G36" s="84"/>
      <c r="H36" s="84">
        <f>Tabela1[[#This Row],[VALOR UNITÁRIO]]*Tabela1[[#This Row],[QUANT.]]</f>
        <v>0</v>
      </c>
      <c r="J36" s="32"/>
      <c r="K36" s="32"/>
      <c r="L36" s="32"/>
      <c r="M36" s="32"/>
    </row>
    <row r="37" spans="1:13" ht="30" x14ac:dyDescent="0.25">
      <c r="A37" s="74" t="s">
        <v>116</v>
      </c>
      <c r="B37" s="114" t="s">
        <v>176</v>
      </c>
      <c r="C37" s="74" t="s">
        <v>77</v>
      </c>
      <c r="D37" s="74">
        <v>11006</v>
      </c>
      <c r="E37" s="74" t="s">
        <v>5</v>
      </c>
      <c r="F37" s="127">
        <v>1000</v>
      </c>
      <c r="G37" s="84"/>
      <c r="H37" s="84">
        <f>Tabela1[[#This Row],[VALOR UNITÁRIO]]*Tabela1[[#This Row],[QUANT.]]</f>
        <v>0</v>
      </c>
      <c r="J37" s="32"/>
      <c r="K37" s="32"/>
      <c r="L37" s="32"/>
      <c r="M37" s="32"/>
    </row>
    <row r="38" spans="1:13" x14ac:dyDescent="0.25">
      <c r="A38" s="74" t="s">
        <v>156</v>
      </c>
      <c r="B38" s="115" t="s">
        <v>46</v>
      </c>
      <c r="C38" s="74" t="s">
        <v>2</v>
      </c>
      <c r="D38" s="74">
        <v>96989</v>
      </c>
      <c r="E38" s="74" t="s">
        <v>5</v>
      </c>
      <c r="F38" s="127">
        <v>4</v>
      </c>
      <c r="G38" s="84"/>
      <c r="H38" s="84">
        <f>Tabela1[[#This Row],[VALOR UNITÁRIO]]*Tabela1[[#This Row],[QUANT.]]</f>
        <v>0</v>
      </c>
      <c r="J38" s="32"/>
      <c r="K38" s="32"/>
      <c r="L38" s="32"/>
      <c r="M38" s="32"/>
    </row>
    <row r="39" spans="1:13" ht="30" x14ac:dyDescent="0.25">
      <c r="A39" s="74" t="s">
        <v>157</v>
      </c>
      <c r="B39" s="114" t="s">
        <v>177</v>
      </c>
      <c r="C39" s="74" t="s">
        <v>77</v>
      </c>
      <c r="D39" s="74">
        <v>9207</v>
      </c>
      <c r="E39" s="74" t="s">
        <v>5</v>
      </c>
      <c r="F39" s="127">
        <v>4</v>
      </c>
      <c r="G39" s="84"/>
      <c r="H39" s="84">
        <f>Tabela1[[#This Row],[VALOR UNITÁRIO]]*Tabela1[[#This Row],[QUANT.]]</f>
        <v>0</v>
      </c>
      <c r="J39" s="32"/>
      <c r="K39" s="32"/>
      <c r="L39" s="32"/>
      <c r="M39" s="32"/>
    </row>
    <row r="40" spans="1:13" x14ac:dyDescent="0.25">
      <c r="A40" s="74" t="s">
        <v>158</v>
      </c>
      <c r="B40" s="115" t="s">
        <v>48</v>
      </c>
      <c r="C40" s="74" t="s">
        <v>2</v>
      </c>
      <c r="D40" s="74">
        <v>96988</v>
      </c>
      <c r="E40" s="74" t="s">
        <v>5</v>
      </c>
      <c r="F40" s="127">
        <v>4</v>
      </c>
      <c r="G40" s="84"/>
      <c r="H40" s="84">
        <f>Tabela1[[#This Row],[VALOR UNITÁRIO]]*Tabela1[[#This Row],[QUANT.]]</f>
        <v>0</v>
      </c>
      <c r="J40" s="32"/>
      <c r="K40" s="32"/>
      <c r="L40" s="32"/>
      <c r="M40" s="32"/>
    </row>
    <row r="41" spans="1:13" x14ac:dyDescent="0.25">
      <c r="A41" s="74" t="s">
        <v>159</v>
      </c>
      <c r="B41" s="115" t="s">
        <v>49</v>
      </c>
      <c r="C41" s="74" t="s">
        <v>2</v>
      </c>
      <c r="D41" s="74">
        <v>96987</v>
      </c>
      <c r="E41" s="74" t="s">
        <v>5</v>
      </c>
      <c r="F41" s="127">
        <v>4</v>
      </c>
      <c r="G41" s="84"/>
      <c r="H41" s="84">
        <f>Tabela1[[#This Row],[VALOR UNITÁRIO]]*Tabela1[[#This Row],[QUANT.]]</f>
        <v>0</v>
      </c>
      <c r="J41" s="32"/>
      <c r="K41" s="32"/>
      <c r="L41" s="32"/>
      <c r="M41" s="32"/>
    </row>
    <row r="42" spans="1:13" x14ac:dyDescent="0.25">
      <c r="A42" s="74" t="s">
        <v>160</v>
      </c>
      <c r="B42" s="115" t="s">
        <v>52</v>
      </c>
      <c r="C42" s="74" t="s">
        <v>184</v>
      </c>
      <c r="D42" s="74" t="s">
        <v>183</v>
      </c>
      <c r="E42" s="74" t="s">
        <v>5</v>
      </c>
      <c r="F42" s="127">
        <v>4</v>
      </c>
      <c r="G42" s="84"/>
      <c r="H42" s="84">
        <f>Tabela1[[#This Row],[VALOR UNITÁRIO]]*Tabela1[[#This Row],[QUANT.]]</f>
        <v>0</v>
      </c>
      <c r="J42" s="32"/>
      <c r="K42" s="32"/>
      <c r="L42" s="32"/>
      <c r="M42" s="32"/>
    </row>
    <row r="43" spans="1:13" x14ac:dyDescent="0.25">
      <c r="A43" s="74" t="s">
        <v>161</v>
      </c>
      <c r="B43" s="115" t="s">
        <v>50</v>
      </c>
      <c r="C43" s="74" t="s">
        <v>184</v>
      </c>
      <c r="D43" s="74" t="s">
        <v>183</v>
      </c>
      <c r="E43" s="74" t="s">
        <v>5</v>
      </c>
      <c r="F43" s="127">
        <v>4</v>
      </c>
      <c r="G43" s="84"/>
      <c r="H43" s="84">
        <f>Tabela1[[#This Row],[VALOR UNITÁRIO]]*Tabela1[[#This Row],[QUANT.]]</f>
        <v>0</v>
      </c>
      <c r="J43" s="32"/>
      <c r="K43" s="32"/>
      <c r="L43" s="32"/>
      <c r="M43" s="32"/>
    </row>
    <row r="44" spans="1:13" x14ac:dyDescent="0.25">
      <c r="A44" s="75" t="s">
        <v>162</v>
      </c>
      <c r="B44" s="116" t="s">
        <v>51</v>
      </c>
      <c r="C44" s="75" t="s">
        <v>184</v>
      </c>
      <c r="D44" s="75" t="s">
        <v>183</v>
      </c>
      <c r="E44" s="75" t="s">
        <v>5</v>
      </c>
      <c r="F44" s="126">
        <v>4</v>
      </c>
      <c r="G44" s="117"/>
      <c r="H44" s="117">
        <f>Tabela1[[#This Row],[VALOR UNITÁRIO]]*Tabela1[[#This Row],[QUANT.]]</f>
        <v>0</v>
      </c>
      <c r="J44" s="32"/>
      <c r="K44" s="32"/>
      <c r="L44" s="32"/>
      <c r="M44" s="32"/>
    </row>
    <row r="45" spans="1:13" x14ac:dyDescent="0.25">
      <c r="A45" s="105" t="s">
        <v>155</v>
      </c>
      <c r="B45" s="101" t="s">
        <v>119</v>
      </c>
      <c r="C45" s="105"/>
      <c r="D45" s="105"/>
      <c r="E45" s="105"/>
      <c r="F45" s="129"/>
      <c r="G45" s="106"/>
      <c r="H45" s="106"/>
      <c r="J45" s="32"/>
      <c r="K45" s="32"/>
      <c r="L45" s="32"/>
      <c r="M45" s="32"/>
    </row>
    <row r="46" spans="1:13" x14ac:dyDescent="0.25">
      <c r="A46" s="111" t="s">
        <v>122</v>
      </c>
      <c r="B46" s="112" t="s">
        <v>178</v>
      </c>
      <c r="C46" s="111" t="s">
        <v>77</v>
      </c>
      <c r="D46" s="111">
        <v>11865</v>
      </c>
      <c r="E46" s="111" t="s">
        <v>6</v>
      </c>
      <c r="F46" s="125">
        <v>96</v>
      </c>
      <c r="G46" s="113"/>
      <c r="H46" s="113">
        <f>Tabela1[[#This Row],[VALOR UNITÁRIO]]*Tabela1[[#This Row],[QUANT.]]</f>
        <v>0</v>
      </c>
      <c r="J46" s="32"/>
      <c r="K46" s="32"/>
      <c r="L46" s="32"/>
      <c r="M46" s="32"/>
    </row>
    <row r="47" spans="1:13" x14ac:dyDescent="0.25">
      <c r="A47" s="74" t="s">
        <v>123</v>
      </c>
      <c r="B47" s="114" t="s">
        <v>38</v>
      </c>
      <c r="C47" s="74" t="s">
        <v>77</v>
      </c>
      <c r="D47" s="74">
        <v>9877</v>
      </c>
      <c r="E47" s="74" t="s">
        <v>5</v>
      </c>
      <c r="F47" s="127">
        <v>100</v>
      </c>
      <c r="G47" s="84"/>
      <c r="H47" s="84">
        <f>Tabela1[[#This Row],[VALOR UNITÁRIO]]*Tabela1[[#This Row],[QUANT.]]</f>
        <v>0</v>
      </c>
      <c r="J47" s="32"/>
      <c r="K47" s="32"/>
      <c r="L47" s="32"/>
      <c r="M47" s="32"/>
    </row>
    <row r="48" spans="1:13" x14ac:dyDescent="0.25">
      <c r="A48" s="74" t="s">
        <v>124</v>
      </c>
      <c r="B48" s="114" t="s">
        <v>39</v>
      </c>
      <c r="C48" s="74" t="s">
        <v>77</v>
      </c>
      <c r="D48" s="74">
        <v>10260</v>
      </c>
      <c r="E48" s="74" t="s">
        <v>5</v>
      </c>
      <c r="F48" s="127">
        <v>100</v>
      </c>
      <c r="G48" s="84"/>
      <c r="H48" s="84">
        <f>Tabela1[[#This Row],[VALOR UNITÁRIO]]*Tabela1[[#This Row],[QUANT.]]</f>
        <v>0</v>
      </c>
      <c r="J48" s="32"/>
      <c r="K48" s="32"/>
      <c r="L48" s="32"/>
      <c r="M48" s="32"/>
    </row>
    <row r="49" spans="1:13" x14ac:dyDescent="0.25">
      <c r="A49" s="74" t="s">
        <v>125</v>
      </c>
      <c r="B49" s="114" t="s">
        <v>40</v>
      </c>
      <c r="C49" s="74" t="s">
        <v>77</v>
      </c>
      <c r="D49" s="74">
        <v>12431</v>
      </c>
      <c r="E49" s="74" t="s">
        <v>5</v>
      </c>
      <c r="F49" s="127">
        <v>100</v>
      </c>
      <c r="G49" s="84"/>
      <c r="H49" s="84">
        <f>Tabela1[[#This Row],[VALOR UNITÁRIO]]*Tabela1[[#This Row],[QUANT.]]</f>
        <v>0</v>
      </c>
      <c r="J49" s="32"/>
      <c r="K49" s="32"/>
      <c r="L49" s="32"/>
      <c r="M49" s="32"/>
    </row>
    <row r="50" spans="1:13" x14ac:dyDescent="0.25">
      <c r="A50" s="74" t="s">
        <v>126</v>
      </c>
      <c r="B50" s="114" t="s">
        <v>179</v>
      </c>
      <c r="C50" s="74" t="s">
        <v>77</v>
      </c>
      <c r="D50" s="74">
        <v>9329</v>
      </c>
      <c r="E50" s="74" t="s">
        <v>5</v>
      </c>
      <c r="F50" s="127">
        <v>24</v>
      </c>
      <c r="G50" s="84"/>
      <c r="H50" s="84">
        <f>Tabela1[[#This Row],[VALOR UNITÁRIO]]*Tabela1[[#This Row],[QUANT.]]</f>
        <v>0</v>
      </c>
      <c r="J50" s="32"/>
      <c r="K50" s="32"/>
      <c r="L50" s="32"/>
      <c r="M50" s="32"/>
    </row>
    <row r="51" spans="1:13" x14ac:dyDescent="0.25">
      <c r="A51" s="74" t="s">
        <v>127</v>
      </c>
      <c r="B51" s="115" t="s">
        <v>28</v>
      </c>
      <c r="C51" s="74" t="s">
        <v>2</v>
      </c>
      <c r="D51" s="74">
        <v>7571</v>
      </c>
      <c r="E51" s="74" t="s">
        <v>5</v>
      </c>
      <c r="F51" s="127">
        <v>16</v>
      </c>
      <c r="G51" s="84"/>
      <c r="H51" s="84">
        <f>Tabela1[[#This Row],[VALOR UNITÁRIO]]*Tabela1[[#This Row],[QUANT.]]</f>
        <v>0</v>
      </c>
      <c r="J51" s="32"/>
      <c r="K51" s="32"/>
      <c r="L51" s="32"/>
      <c r="M51" s="32"/>
    </row>
    <row r="52" spans="1:13" x14ac:dyDescent="0.25">
      <c r="A52" s="75" t="s">
        <v>128</v>
      </c>
      <c r="B52" s="116" t="s">
        <v>56</v>
      </c>
      <c r="C52" s="75" t="s">
        <v>2</v>
      </c>
      <c r="D52" s="75">
        <v>39961</v>
      </c>
      <c r="E52" s="75" t="s">
        <v>5</v>
      </c>
      <c r="F52" s="126">
        <v>10</v>
      </c>
      <c r="G52" s="117"/>
      <c r="H52" s="117">
        <f>Tabela1[[#This Row],[VALOR UNITÁRIO]]*Tabela1[[#This Row],[QUANT.]]</f>
        <v>0</v>
      </c>
      <c r="J52" s="32"/>
      <c r="K52" s="32"/>
      <c r="L52" s="32"/>
      <c r="M52" s="32"/>
    </row>
    <row r="53" spans="1:13" x14ac:dyDescent="0.25">
      <c r="A53" s="105" t="s">
        <v>129</v>
      </c>
      <c r="B53" s="101" t="s">
        <v>114</v>
      </c>
      <c r="C53" s="105"/>
      <c r="D53" s="105"/>
      <c r="E53" s="105"/>
      <c r="F53" s="129"/>
      <c r="G53" s="106"/>
      <c r="H53" s="106"/>
      <c r="J53" s="32"/>
      <c r="K53" s="32"/>
      <c r="L53" s="32"/>
      <c r="M53" s="32"/>
    </row>
    <row r="54" spans="1:13" ht="17.25" x14ac:dyDescent="0.25">
      <c r="A54" s="111" t="s">
        <v>130</v>
      </c>
      <c r="B54" s="121" t="s">
        <v>25</v>
      </c>
      <c r="C54" s="111" t="s">
        <v>2</v>
      </c>
      <c r="D54" s="111">
        <v>96977</v>
      </c>
      <c r="E54" s="111" t="s">
        <v>6</v>
      </c>
      <c r="F54" s="125">
        <v>445</v>
      </c>
      <c r="G54" s="113"/>
      <c r="H54" s="113">
        <f>Tabela1[[#This Row],[VALOR UNITÁRIO]]*Tabela1[[#This Row],[QUANT.]]</f>
        <v>0</v>
      </c>
      <c r="J54" s="32"/>
      <c r="K54" s="32"/>
      <c r="L54" s="32"/>
      <c r="M54" s="32"/>
    </row>
    <row r="55" spans="1:13" x14ac:dyDescent="0.25">
      <c r="A55" s="74" t="s">
        <v>131</v>
      </c>
      <c r="B55" s="115" t="s">
        <v>31</v>
      </c>
      <c r="C55" s="74" t="s">
        <v>2</v>
      </c>
      <c r="D55" s="74">
        <v>98111</v>
      </c>
      <c r="E55" s="74" t="s">
        <v>5</v>
      </c>
      <c r="F55" s="127">
        <v>24</v>
      </c>
      <c r="G55" s="84"/>
      <c r="H55" s="84">
        <f>Tabela1[[#This Row],[VALOR UNITÁRIO]]*Tabela1[[#This Row],[QUANT.]]</f>
        <v>0</v>
      </c>
      <c r="J55" s="32"/>
      <c r="K55" s="32"/>
      <c r="L55" s="32"/>
      <c r="M55" s="32"/>
    </row>
    <row r="56" spans="1:13" ht="30" x14ac:dyDescent="0.25">
      <c r="A56" s="74" t="s">
        <v>132</v>
      </c>
      <c r="B56" s="78" t="s">
        <v>180</v>
      </c>
      <c r="C56" s="74" t="s">
        <v>77</v>
      </c>
      <c r="D56" s="74">
        <v>9723</v>
      </c>
      <c r="E56" s="74" t="s">
        <v>5</v>
      </c>
      <c r="F56" s="127">
        <v>24</v>
      </c>
      <c r="G56" s="84"/>
      <c r="H56" s="84">
        <f>Tabela1[[#This Row],[VALOR UNITÁRIO]]*Tabela1[[#This Row],[QUANT.]]</f>
        <v>0</v>
      </c>
      <c r="J56" s="32"/>
      <c r="K56" s="32"/>
      <c r="L56" s="32"/>
      <c r="M56" s="32"/>
    </row>
    <row r="57" spans="1:13" ht="17.25" x14ac:dyDescent="0.25">
      <c r="A57" s="74" t="s">
        <v>133</v>
      </c>
      <c r="B57" s="115" t="s">
        <v>34</v>
      </c>
      <c r="C57" s="74" t="s">
        <v>2</v>
      </c>
      <c r="D57" s="74">
        <v>1578</v>
      </c>
      <c r="E57" s="74" t="s">
        <v>5</v>
      </c>
      <c r="F57" s="127">
        <v>24</v>
      </c>
      <c r="G57" s="84"/>
      <c r="H57" s="84">
        <f>Tabela1[[#This Row],[VALOR UNITÁRIO]]*Tabela1[[#This Row],[QUANT.]]</f>
        <v>0</v>
      </c>
      <c r="J57" s="32"/>
      <c r="K57" s="32"/>
      <c r="L57" s="32"/>
      <c r="M57" s="32"/>
    </row>
    <row r="58" spans="1:13" x14ac:dyDescent="0.25">
      <c r="A58" s="74" t="s">
        <v>134</v>
      </c>
      <c r="B58" s="115" t="s">
        <v>41</v>
      </c>
      <c r="C58" s="74" t="s">
        <v>2</v>
      </c>
      <c r="D58" s="74">
        <v>98111</v>
      </c>
      <c r="E58" s="74" t="s">
        <v>5</v>
      </c>
      <c r="F58" s="127">
        <v>24</v>
      </c>
      <c r="G58" s="84"/>
      <c r="H58" s="84">
        <f>Tabela1[[#This Row],[VALOR UNITÁRIO]]*Tabela1[[#This Row],[QUANT.]]</f>
        <v>0</v>
      </c>
      <c r="J58" s="32"/>
      <c r="K58" s="32"/>
      <c r="L58" s="32"/>
      <c r="M58" s="32"/>
    </row>
    <row r="59" spans="1:13" ht="17.25" x14ac:dyDescent="0.25">
      <c r="A59" s="74" t="s">
        <v>135</v>
      </c>
      <c r="B59" s="115" t="s">
        <v>58</v>
      </c>
      <c r="C59" s="74" t="s">
        <v>2</v>
      </c>
      <c r="D59" s="74">
        <v>93358</v>
      </c>
      <c r="E59" s="74" t="s">
        <v>10</v>
      </c>
      <c r="F59" s="127">
        <v>111.25</v>
      </c>
      <c r="G59" s="84"/>
      <c r="H59" s="84">
        <f>Tabela1[[#This Row],[VALOR UNITÁRIO]]*Tabela1[[#This Row],[QUANT.]]</f>
        <v>0</v>
      </c>
      <c r="J59" s="32"/>
      <c r="K59" s="32"/>
      <c r="L59" s="32"/>
      <c r="M59" s="32"/>
    </row>
    <row r="60" spans="1:13" x14ac:dyDescent="0.25">
      <c r="A60" s="74" t="s">
        <v>136</v>
      </c>
      <c r="B60" s="115" t="s">
        <v>70</v>
      </c>
      <c r="C60" s="74" t="s">
        <v>2</v>
      </c>
      <c r="D60" s="74">
        <v>97629</v>
      </c>
      <c r="E60" s="74" t="s">
        <v>71</v>
      </c>
      <c r="F60" s="127">
        <f>80*0.08</f>
        <v>6.4</v>
      </c>
      <c r="G60" s="84"/>
      <c r="H60" s="84">
        <f>Tabela1[[#This Row],[VALOR UNITÁRIO]]*Tabela1[[#This Row],[QUANT.]]</f>
        <v>0</v>
      </c>
      <c r="J60" s="32"/>
      <c r="K60" s="32"/>
      <c r="L60" s="32"/>
      <c r="M60" s="32"/>
    </row>
    <row r="61" spans="1:13" x14ac:dyDescent="0.25">
      <c r="A61" s="74" t="s">
        <v>137</v>
      </c>
      <c r="B61" s="114" t="s">
        <v>53</v>
      </c>
      <c r="C61" s="74" t="s">
        <v>77</v>
      </c>
      <c r="D61" s="74">
        <v>10339</v>
      </c>
      <c r="E61" s="74" t="s">
        <v>5</v>
      </c>
      <c r="F61" s="127">
        <v>1</v>
      </c>
      <c r="G61" s="122"/>
      <c r="H61" s="84">
        <f>Tabela1[[#This Row],[VALOR UNITÁRIO]]*Tabela1[[#This Row],[QUANT.]]</f>
        <v>0</v>
      </c>
      <c r="J61" s="32"/>
      <c r="K61" s="32"/>
      <c r="L61" s="32"/>
      <c r="M61" s="32"/>
    </row>
    <row r="62" spans="1:13" x14ac:dyDescent="0.25">
      <c r="A62" s="74" t="s">
        <v>138</v>
      </c>
      <c r="B62" s="114" t="s">
        <v>54</v>
      </c>
      <c r="C62" s="74" t="s">
        <v>77</v>
      </c>
      <c r="D62" s="74">
        <v>9690</v>
      </c>
      <c r="E62" s="74" t="s">
        <v>5</v>
      </c>
      <c r="F62" s="127">
        <v>30</v>
      </c>
      <c r="G62" s="84"/>
      <c r="H62" s="84">
        <f>Tabela1[[#This Row],[VALOR UNITÁRIO]]*Tabela1[[#This Row],[QUANT.]]</f>
        <v>0</v>
      </c>
      <c r="J62" s="32"/>
      <c r="K62" s="32"/>
      <c r="L62" s="32"/>
      <c r="M62" s="32"/>
    </row>
    <row r="63" spans="1:13" x14ac:dyDescent="0.25">
      <c r="A63" s="75" t="s">
        <v>139</v>
      </c>
      <c r="B63" s="116" t="s">
        <v>55</v>
      </c>
      <c r="C63" s="75" t="s">
        <v>184</v>
      </c>
      <c r="D63" s="75" t="s">
        <v>183</v>
      </c>
      <c r="E63" s="75" t="s">
        <v>5</v>
      </c>
      <c r="F63" s="126">
        <v>1</v>
      </c>
      <c r="G63" s="117"/>
      <c r="H63" s="117">
        <f>Tabela1[[#This Row],[VALOR UNITÁRIO]]*Tabela1[[#This Row],[QUANT.]]</f>
        <v>0</v>
      </c>
      <c r="J63" s="32"/>
      <c r="K63" s="32"/>
      <c r="L63" s="32"/>
      <c r="M63" s="32"/>
    </row>
    <row r="64" spans="1:13" x14ac:dyDescent="0.25">
      <c r="A64" s="105" t="s">
        <v>140</v>
      </c>
      <c r="B64" s="101" t="s">
        <v>117</v>
      </c>
      <c r="C64" s="105"/>
      <c r="D64" s="105"/>
      <c r="E64" s="105"/>
      <c r="F64" s="129"/>
      <c r="G64" s="106"/>
      <c r="H64" s="106"/>
      <c r="J64" s="32"/>
      <c r="K64" s="32"/>
      <c r="L64" s="32"/>
      <c r="M64" s="32"/>
    </row>
    <row r="65" spans="1:13" ht="17.25" x14ac:dyDescent="0.25">
      <c r="A65" s="111" t="s">
        <v>141</v>
      </c>
      <c r="B65" s="121" t="s">
        <v>35</v>
      </c>
      <c r="C65" s="111" t="s">
        <v>2</v>
      </c>
      <c r="D65" s="111">
        <v>92986</v>
      </c>
      <c r="E65" s="111" t="s">
        <v>6</v>
      </c>
      <c r="F65" s="125">
        <v>550</v>
      </c>
      <c r="G65" s="113"/>
      <c r="H65" s="113">
        <f>Tabela1[[#This Row],[VALOR UNITÁRIO]]*Tabela1[[#This Row],[QUANT.]]</f>
        <v>0</v>
      </c>
      <c r="J65" s="32"/>
      <c r="K65" s="32"/>
      <c r="L65" s="32"/>
      <c r="M65" s="32"/>
    </row>
    <row r="66" spans="1:13" ht="17.25" x14ac:dyDescent="0.25">
      <c r="A66" s="74" t="s">
        <v>142</v>
      </c>
      <c r="B66" s="115" t="s">
        <v>36</v>
      </c>
      <c r="C66" s="74" t="s">
        <v>2</v>
      </c>
      <c r="D66" s="74">
        <v>91928</v>
      </c>
      <c r="E66" s="74" t="s">
        <v>6</v>
      </c>
      <c r="F66" s="127">
        <v>600</v>
      </c>
      <c r="G66" s="84"/>
      <c r="H66" s="84">
        <f>Tabela1[[#This Row],[VALOR UNITÁRIO]]*Tabela1[[#This Row],[QUANT.]]</f>
        <v>0</v>
      </c>
      <c r="J66" s="32"/>
      <c r="K66" s="32"/>
      <c r="L66" s="32"/>
      <c r="M66" s="32"/>
    </row>
    <row r="67" spans="1:13" x14ac:dyDescent="0.25">
      <c r="A67" s="74" t="s">
        <v>143</v>
      </c>
      <c r="B67" s="115" t="s">
        <v>27</v>
      </c>
      <c r="C67" s="74" t="s">
        <v>2</v>
      </c>
      <c r="D67" s="74">
        <v>7583</v>
      </c>
      <c r="E67" s="74" t="s">
        <v>5</v>
      </c>
      <c r="F67" s="127">
        <v>1500</v>
      </c>
      <c r="G67" s="84"/>
      <c r="H67" s="84">
        <f>Tabela1[[#This Row],[VALOR UNITÁRIO]]*Tabela1[[#This Row],[QUANT.]]</f>
        <v>0</v>
      </c>
      <c r="J67" s="32"/>
      <c r="K67" s="32"/>
      <c r="L67" s="32"/>
      <c r="M67" s="32"/>
    </row>
    <row r="68" spans="1:13" x14ac:dyDescent="0.25">
      <c r="A68" s="74" t="s">
        <v>144</v>
      </c>
      <c r="B68" s="114" t="s">
        <v>33</v>
      </c>
      <c r="C68" s="74" t="s">
        <v>77</v>
      </c>
      <c r="D68" s="74">
        <v>10681</v>
      </c>
      <c r="E68" s="74" t="s">
        <v>5</v>
      </c>
      <c r="F68" s="127">
        <v>42</v>
      </c>
      <c r="G68" s="84"/>
      <c r="H68" s="84">
        <f>Tabela1[[#This Row],[VALOR UNITÁRIO]]*Tabela1[[#This Row],[QUANT.]]</f>
        <v>0</v>
      </c>
      <c r="J68" s="32"/>
      <c r="K68" s="32"/>
      <c r="L68" s="32"/>
      <c r="M68" s="32"/>
    </row>
    <row r="69" spans="1:13" ht="17.25" x14ac:dyDescent="0.25">
      <c r="A69" s="74" t="s">
        <v>145</v>
      </c>
      <c r="B69" s="118" t="s">
        <v>37</v>
      </c>
      <c r="C69" s="74" t="s">
        <v>2</v>
      </c>
      <c r="D69" s="74">
        <v>1535</v>
      </c>
      <c r="E69" s="74" t="s">
        <v>5</v>
      </c>
      <c r="F69" s="127">
        <v>400</v>
      </c>
      <c r="G69" s="84"/>
      <c r="H69" s="84">
        <f>Tabela1[[#This Row],[VALOR UNITÁRIO]]*Tabela1[[#This Row],[QUANT.]]</f>
        <v>0</v>
      </c>
      <c r="J69" s="32"/>
      <c r="K69" s="32"/>
      <c r="L69" s="32"/>
      <c r="M69" s="32"/>
    </row>
    <row r="70" spans="1:13" x14ac:dyDescent="0.25">
      <c r="A70" s="74" t="s">
        <v>146</v>
      </c>
      <c r="B70" s="118" t="s">
        <v>43</v>
      </c>
      <c r="C70" s="74" t="s">
        <v>2</v>
      </c>
      <c r="D70" s="74">
        <v>2685</v>
      </c>
      <c r="E70" s="74" t="s">
        <v>5</v>
      </c>
      <c r="F70" s="127">
        <v>36</v>
      </c>
      <c r="G70" s="84"/>
      <c r="H70" s="84">
        <f>Tabela1[[#This Row],[VALOR UNITÁRIO]]*Tabela1[[#This Row],[QUANT.]]</f>
        <v>0</v>
      </c>
      <c r="J70" s="32"/>
      <c r="K70" s="32"/>
      <c r="L70" s="32"/>
      <c r="M70" s="32"/>
    </row>
    <row r="71" spans="1:13" x14ac:dyDescent="0.25">
      <c r="A71" s="74" t="s">
        <v>147</v>
      </c>
      <c r="B71" s="79" t="s">
        <v>44</v>
      </c>
      <c r="C71" s="74" t="s">
        <v>2</v>
      </c>
      <c r="D71" s="74">
        <v>393</v>
      </c>
      <c r="E71" s="74" t="s">
        <v>5</v>
      </c>
      <c r="F71" s="127">
        <v>48</v>
      </c>
      <c r="G71" s="84"/>
      <c r="H71" s="84">
        <f>Tabela1[[#This Row],[VALOR UNITÁRIO]]*Tabela1[[#This Row],[QUANT.]]</f>
        <v>0</v>
      </c>
      <c r="J71" s="32"/>
      <c r="K71" s="32"/>
      <c r="L71" s="32"/>
      <c r="M71" s="32"/>
    </row>
    <row r="72" spans="1:13" x14ac:dyDescent="0.25">
      <c r="A72" s="75" t="s">
        <v>148</v>
      </c>
      <c r="B72" s="120" t="s">
        <v>45</v>
      </c>
      <c r="C72" s="75" t="s">
        <v>77</v>
      </c>
      <c r="D72" s="75">
        <v>10418</v>
      </c>
      <c r="E72" s="75" t="s">
        <v>5</v>
      </c>
      <c r="F72" s="126">
        <v>1</v>
      </c>
      <c r="G72" s="117"/>
      <c r="H72" s="117">
        <f>Tabela1[[#This Row],[VALOR UNITÁRIO]]*Tabela1[[#This Row],[QUANT.]]</f>
        <v>0</v>
      </c>
      <c r="J72" s="32"/>
      <c r="K72" s="32"/>
      <c r="L72" s="32"/>
      <c r="M72" s="32"/>
    </row>
    <row r="73" spans="1:13" x14ac:dyDescent="0.25">
      <c r="A73" s="105" t="s">
        <v>149</v>
      </c>
      <c r="B73" s="101" t="s">
        <v>120</v>
      </c>
      <c r="C73" s="105"/>
      <c r="D73" s="105"/>
      <c r="E73" s="105"/>
      <c r="F73" s="129"/>
      <c r="G73" s="106"/>
      <c r="H73" s="106"/>
      <c r="J73" s="32"/>
      <c r="K73" s="32"/>
      <c r="L73" s="32"/>
      <c r="M73" s="32"/>
    </row>
    <row r="74" spans="1:13" ht="30" x14ac:dyDescent="0.25">
      <c r="A74" s="85" t="s">
        <v>150</v>
      </c>
      <c r="B74" s="86" t="s">
        <v>72</v>
      </c>
      <c r="C74" s="85" t="s">
        <v>2</v>
      </c>
      <c r="D74" s="85">
        <v>94995</v>
      </c>
      <c r="E74" s="87" t="s">
        <v>75</v>
      </c>
      <c r="F74" s="130">
        <v>80</v>
      </c>
      <c r="G74" s="88"/>
      <c r="H74" s="88">
        <f>Tabela1[[#This Row],[VALOR UNITÁRIO]]*Tabela1[[#This Row],[QUANT.]]</f>
        <v>0</v>
      </c>
      <c r="J74" s="32"/>
      <c r="K74" s="32"/>
      <c r="L74" s="32"/>
      <c r="M74" s="32"/>
    </row>
    <row r="75" spans="1:13" x14ac:dyDescent="0.25">
      <c r="A75" s="105" t="s">
        <v>151</v>
      </c>
      <c r="B75" s="101" t="s">
        <v>121</v>
      </c>
      <c r="C75" s="105"/>
      <c r="D75" s="105"/>
      <c r="E75" s="105"/>
      <c r="F75" s="129"/>
      <c r="G75" s="106"/>
      <c r="H75" s="106"/>
      <c r="J75" s="32"/>
      <c r="K75" s="32"/>
      <c r="L75" s="32"/>
      <c r="M75" s="32"/>
    </row>
    <row r="76" spans="1:13" x14ac:dyDescent="0.25">
      <c r="A76" s="74" t="s">
        <v>152</v>
      </c>
      <c r="B76" s="79" t="s">
        <v>57</v>
      </c>
      <c r="C76" s="74" t="s">
        <v>2</v>
      </c>
      <c r="D76" s="74">
        <v>39469</v>
      </c>
      <c r="E76" s="74" t="s">
        <v>5</v>
      </c>
      <c r="F76" s="127">
        <v>252</v>
      </c>
      <c r="G76" s="84"/>
      <c r="H76" s="84">
        <f>Tabela1[[#This Row],[VALOR UNITÁRIO]]*Tabela1[[#This Row],[QUANT.]]</f>
        <v>0</v>
      </c>
    </row>
    <row r="77" spans="1:13" x14ac:dyDescent="0.25">
      <c r="A77" s="73" t="s">
        <v>153</v>
      </c>
      <c r="B77" s="77" t="s">
        <v>59</v>
      </c>
      <c r="C77" s="73" t="s">
        <v>77</v>
      </c>
      <c r="D77" s="73">
        <v>12638</v>
      </c>
      <c r="E77" s="73" t="s">
        <v>5</v>
      </c>
      <c r="F77" s="131">
        <v>1</v>
      </c>
      <c r="G77" s="82"/>
      <c r="H77" s="82">
        <f>Tabela1[[#This Row],[VALOR UNITÁRIO]]*Tabela1[[#This Row],[QUANT.]]</f>
        <v>0</v>
      </c>
    </row>
    <row r="78" spans="1:13" x14ac:dyDescent="0.25">
      <c r="A78" s="76" t="s">
        <v>154</v>
      </c>
      <c r="B78" s="80" t="s">
        <v>97</v>
      </c>
      <c r="C78" s="76" t="s">
        <v>184</v>
      </c>
      <c r="D78" s="76" t="s">
        <v>183</v>
      </c>
      <c r="E78" s="76" t="s">
        <v>5</v>
      </c>
      <c r="F78" s="132">
        <v>1</v>
      </c>
      <c r="G78" s="83"/>
      <c r="H78" s="83">
        <f>Tabela1[[#This Row],[VALOR UNITÁRIO]]*Tabela1[[#This Row],[QUANT.]]</f>
        <v>0</v>
      </c>
    </row>
    <row r="79" spans="1:13" x14ac:dyDescent="0.25">
      <c r="A79" s="138"/>
      <c r="B79" s="139" t="s">
        <v>60</v>
      </c>
      <c r="C79" s="140"/>
      <c r="D79" s="140"/>
      <c r="E79" s="140"/>
      <c r="F79" s="141"/>
      <c r="G79" s="140"/>
      <c r="H79" s="142">
        <f>SUBTOTAL(109,Tabela1[TOTAL])</f>
        <v>0</v>
      </c>
      <c r="K79" s="33"/>
    </row>
    <row r="80" spans="1:13" x14ac:dyDescent="0.25">
      <c r="A80" s="138"/>
      <c r="B80" s="139" t="s">
        <v>78</v>
      </c>
      <c r="C80" s="140"/>
      <c r="D80" s="140"/>
      <c r="E80" s="140"/>
      <c r="F80" s="140"/>
      <c r="G80" s="140"/>
      <c r="H80" s="142">
        <f>Tabela1[[#Totals],[TOTAL]]*0.2579</f>
        <v>0</v>
      </c>
      <c r="K80" s="33"/>
    </row>
    <row r="81" spans="1:8" x14ac:dyDescent="0.25">
      <c r="A81" s="138"/>
      <c r="B81" s="139" t="s">
        <v>0</v>
      </c>
      <c r="C81" s="140"/>
      <c r="D81" s="140"/>
      <c r="E81" s="140"/>
      <c r="F81" s="140"/>
      <c r="G81" s="140"/>
      <c r="H81" s="142">
        <f>Tabela1[[#Totals],[TOTAL]]+H80</f>
        <v>0</v>
      </c>
    </row>
    <row r="82" spans="1:8" x14ac:dyDescent="0.25">
      <c r="A82" s="213" t="s">
        <v>198</v>
      </c>
    </row>
    <row r="83" spans="1:8" x14ac:dyDescent="0.25">
      <c r="B83" t="s">
        <v>199</v>
      </c>
    </row>
    <row r="84" spans="1:8" x14ac:dyDescent="0.25">
      <c r="B84" t="s">
        <v>201</v>
      </c>
    </row>
    <row r="85" spans="1:8" x14ac:dyDescent="0.25">
      <c r="B85" t="s">
        <v>200</v>
      </c>
    </row>
  </sheetData>
  <mergeCells count="19">
    <mergeCell ref="A14:H14"/>
    <mergeCell ref="A15:H15"/>
    <mergeCell ref="A16:H17"/>
    <mergeCell ref="B21:E21"/>
    <mergeCell ref="B20:E20"/>
    <mergeCell ref="A19:H19"/>
    <mergeCell ref="A11:H11"/>
    <mergeCell ref="A12:H12"/>
    <mergeCell ref="A13:H13"/>
    <mergeCell ref="A1:H1"/>
    <mergeCell ref="A2:H2"/>
    <mergeCell ref="A8:H8"/>
    <mergeCell ref="A9:H9"/>
    <mergeCell ref="A10:H10"/>
    <mergeCell ref="A3:H3"/>
    <mergeCell ref="A4:H4"/>
    <mergeCell ref="A5:H5"/>
    <mergeCell ref="A6:H6"/>
    <mergeCell ref="A7:H7"/>
  </mergeCells>
  <phoneticPr fontId="8" type="noConversion"/>
  <printOptions horizontalCentered="1" verticalCentered="1"/>
  <pageMargins left="0.25" right="0.25" top="0.75" bottom="0.75" header="0.3" footer="0.3"/>
  <pageSetup paperSize="8" scale="6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271468-0D54-4EF3-8C05-9B1DE3D45AD2}">
          <x14:formula1>
            <xm:f>'planilha suporte'!$A$2:$A$5</xm:f>
          </x14:formula1>
          <xm:sqref>C80:C1048576 C23:C78</xm:sqref>
        </x14:dataValidation>
        <x14:dataValidation type="list" allowBlank="1" showInputMessage="1" showErrorMessage="1" xr:uid="{DD0973F8-09AB-4840-B7AE-BE9CBC163BD5}">
          <x14:formula1>
            <xm:f>'planilha suporte'!$B$2:$B$22</xm:f>
          </x14:formula1>
          <xm:sqref>E80:E1048576 E22:E78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4325-1F02-4739-9B76-935154395919}">
  <dimension ref="A1:P74"/>
  <sheetViews>
    <sheetView showGridLines="0" view="pageBreakPreview" topLeftCell="A47" zoomScaleNormal="100" zoomScaleSheetLayoutView="100" workbookViewId="0">
      <selection activeCell="H20" sqref="H20:H25"/>
    </sheetView>
  </sheetViews>
  <sheetFormatPr defaultRowHeight="15" x14ac:dyDescent="0.25"/>
  <cols>
    <col min="1" max="1" width="11.42578125" style="1" customWidth="1"/>
    <col min="2" max="2" width="104.140625" customWidth="1"/>
    <col min="3" max="5" width="15.7109375" style="1" customWidth="1"/>
    <col min="6" max="6" width="15.7109375" style="3" customWidth="1"/>
    <col min="7" max="8" width="15.7109375" style="2" customWidth="1"/>
    <col min="9" max="9" width="15.85546875" bestFit="1" customWidth="1"/>
    <col min="10" max="10" width="19.140625" customWidth="1"/>
    <col min="11" max="11" width="18.5703125" bestFit="1" customWidth="1"/>
    <col min="12" max="13" width="13.28515625" bestFit="1" customWidth="1"/>
    <col min="14" max="14" width="16.85546875" bestFit="1" customWidth="1"/>
    <col min="15" max="15" width="16.140625" bestFit="1" customWidth="1"/>
  </cols>
  <sheetData>
    <row r="1" spans="1:14" ht="89.25" customHeight="1" x14ac:dyDescent="0.25">
      <c r="A1" s="218"/>
      <c r="B1" s="219"/>
      <c r="C1" s="219"/>
      <c r="D1" s="219"/>
      <c r="E1" s="219"/>
      <c r="F1" s="219"/>
      <c r="G1" s="219"/>
      <c r="H1" s="219"/>
      <c r="I1" s="203"/>
      <c r="J1" s="203"/>
      <c r="K1" s="204"/>
    </row>
    <row r="2" spans="1:14" x14ac:dyDescent="0.25">
      <c r="A2" s="214" t="s">
        <v>86</v>
      </c>
      <c r="B2" s="215"/>
      <c r="C2" s="215"/>
      <c r="D2" s="215"/>
      <c r="E2" s="215"/>
      <c r="F2" s="215"/>
      <c r="G2" s="215"/>
      <c r="H2" s="215"/>
      <c r="I2" s="215"/>
      <c r="J2" s="215"/>
      <c r="K2" s="216"/>
    </row>
    <row r="3" spans="1:14" x14ac:dyDescent="0.25">
      <c r="A3" s="214" t="s">
        <v>87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4" x14ac:dyDescent="0.25">
      <c r="A4" s="214" t="s">
        <v>88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4" x14ac:dyDescent="0.25">
      <c r="A5" s="214" t="s">
        <v>89</v>
      </c>
      <c r="B5" s="215"/>
      <c r="C5" s="215"/>
      <c r="D5" s="215"/>
      <c r="E5" s="215"/>
      <c r="F5" s="215"/>
      <c r="G5" s="215"/>
      <c r="H5" s="215"/>
      <c r="I5" s="215"/>
      <c r="J5" s="215"/>
      <c r="K5" s="216"/>
    </row>
    <row r="6" spans="1:14" x14ac:dyDescent="0.25">
      <c r="A6" s="214" t="s">
        <v>90</v>
      </c>
      <c r="B6" s="215"/>
      <c r="C6" s="215"/>
      <c r="D6" s="215"/>
      <c r="E6" s="215"/>
      <c r="F6" s="215"/>
      <c r="G6" s="215"/>
      <c r="H6" s="215"/>
      <c r="I6" s="215"/>
      <c r="J6" s="215"/>
      <c r="K6" s="216"/>
    </row>
    <row r="7" spans="1:14" x14ac:dyDescent="0.25">
      <c r="A7" s="214" t="s">
        <v>91</v>
      </c>
      <c r="B7" s="215"/>
      <c r="C7" s="215"/>
      <c r="D7" s="215"/>
      <c r="E7" s="215"/>
      <c r="F7" s="215"/>
      <c r="G7" s="215"/>
      <c r="H7" s="215"/>
      <c r="I7" s="215"/>
      <c r="J7" s="215"/>
      <c r="K7" s="216"/>
    </row>
    <row r="8" spans="1:14" x14ac:dyDescent="0.25">
      <c r="A8" s="214" t="s">
        <v>92</v>
      </c>
      <c r="B8" s="215"/>
      <c r="C8" s="215"/>
      <c r="D8" s="215"/>
      <c r="E8" s="215"/>
      <c r="F8" s="215"/>
      <c r="G8" s="215"/>
      <c r="H8" s="215"/>
      <c r="I8" s="215"/>
      <c r="J8" s="215"/>
      <c r="K8" s="216"/>
    </row>
    <row r="9" spans="1:14" x14ac:dyDescent="0.25">
      <c r="A9" s="214"/>
      <c r="B9" s="215"/>
      <c r="C9" s="215"/>
      <c r="D9" s="215"/>
      <c r="E9" s="215"/>
      <c r="F9" s="215"/>
      <c r="G9" s="215"/>
      <c r="H9" s="215"/>
      <c r="I9" s="27"/>
      <c r="J9" s="27"/>
      <c r="K9" s="205"/>
    </row>
    <row r="10" spans="1:14" x14ac:dyDescent="0.25">
      <c r="A10" s="217" t="s">
        <v>98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spans="1:14" x14ac:dyDescent="0.25">
      <c r="A11" s="214"/>
      <c r="B11" s="215"/>
      <c r="C11" s="215"/>
      <c r="D11" s="215"/>
      <c r="E11" s="215"/>
      <c r="F11" s="215"/>
      <c r="G11" s="215"/>
      <c r="H11" s="215"/>
      <c r="I11" s="27"/>
      <c r="J11" s="27"/>
      <c r="K11" s="205"/>
    </row>
    <row r="12" spans="1:14" x14ac:dyDescent="0.25">
      <c r="A12" s="217" t="s">
        <v>164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</row>
    <row r="13" spans="1:14" x14ac:dyDescent="0.25">
      <c r="A13" s="214"/>
      <c r="B13" s="215"/>
      <c r="C13" s="215"/>
      <c r="D13" s="215"/>
      <c r="E13" s="215"/>
      <c r="F13" s="215"/>
      <c r="G13" s="215"/>
      <c r="H13" s="215"/>
      <c r="I13" s="27"/>
      <c r="J13" s="27"/>
      <c r="K13" s="205"/>
    </row>
    <row r="14" spans="1:14" x14ac:dyDescent="0.25">
      <c r="A14" s="221" t="s">
        <v>93</v>
      </c>
      <c r="B14" s="222"/>
      <c r="C14" s="222"/>
      <c r="D14" s="222"/>
      <c r="E14" s="222"/>
      <c r="F14" s="222"/>
      <c r="G14" s="222"/>
      <c r="H14" s="222"/>
      <c r="I14" s="27"/>
      <c r="J14" s="27"/>
      <c r="K14" s="205"/>
      <c r="L14" s="34"/>
      <c r="M14" s="34"/>
      <c r="N14" s="34"/>
    </row>
    <row r="15" spans="1:14" x14ac:dyDescent="0.25">
      <c r="A15" s="214"/>
      <c r="B15" s="215"/>
      <c r="C15" s="215"/>
      <c r="D15" s="215"/>
      <c r="E15" s="215"/>
      <c r="F15" s="215"/>
      <c r="G15" s="215"/>
      <c r="H15" s="215"/>
      <c r="I15" s="27"/>
      <c r="J15" s="27"/>
      <c r="K15" s="205"/>
      <c r="L15" s="34"/>
      <c r="M15" s="34"/>
      <c r="N15" s="34"/>
    </row>
    <row r="16" spans="1:14" x14ac:dyDescent="0.25">
      <c r="A16" s="224" t="s">
        <v>94</v>
      </c>
      <c r="B16" s="225"/>
      <c r="C16" s="225"/>
      <c r="D16" s="225"/>
      <c r="E16" s="225"/>
      <c r="F16" s="225"/>
      <c r="G16" s="225"/>
      <c r="H16" s="225"/>
      <c r="I16" s="27"/>
      <c r="J16" s="27"/>
      <c r="K16" s="205"/>
      <c r="L16" s="34"/>
      <c r="M16" s="68"/>
      <c r="N16" s="34"/>
    </row>
    <row r="17" spans="1:15" x14ac:dyDescent="0.25">
      <c r="A17" s="224"/>
      <c r="B17" s="225"/>
      <c r="C17" s="225"/>
      <c r="D17" s="225"/>
      <c r="E17" s="225"/>
      <c r="F17" s="225"/>
      <c r="G17" s="225"/>
      <c r="H17" s="225"/>
      <c r="I17" s="27"/>
      <c r="J17" s="27"/>
      <c r="K17" s="205"/>
      <c r="L17" s="34"/>
      <c r="M17" s="34"/>
      <c r="N17" s="34"/>
    </row>
    <row r="18" spans="1:15" x14ac:dyDescent="0.25">
      <c r="A18" s="234"/>
      <c r="B18" s="235"/>
      <c r="C18" s="235"/>
      <c r="D18" s="235"/>
      <c r="E18" s="235"/>
      <c r="F18" s="235"/>
      <c r="G18" s="235"/>
      <c r="H18" s="235"/>
      <c r="I18" s="206"/>
      <c r="J18" s="206"/>
      <c r="K18" s="207"/>
    </row>
    <row r="19" spans="1:15" ht="30" customHeight="1" x14ac:dyDescent="0.25">
      <c r="A19" s="195" t="s">
        <v>12</v>
      </c>
      <c r="B19" s="194" t="s">
        <v>13</v>
      </c>
      <c r="C19" s="195" t="s">
        <v>14</v>
      </c>
      <c r="D19" s="196" t="s">
        <v>181</v>
      </c>
      <c r="E19" s="195" t="s">
        <v>4</v>
      </c>
      <c r="F19" s="197" t="s">
        <v>15</v>
      </c>
      <c r="G19" s="198" t="s">
        <v>185</v>
      </c>
      <c r="H19" s="199" t="s">
        <v>182</v>
      </c>
      <c r="I19" s="200" t="s">
        <v>186</v>
      </c>
      <c r="J19" s="201" t="s">
        <v>187</v>
      </c>
      <c r="K19" s="202" t="s">
        <v>189</v>
      </c>
      <c r="L19" s="190" t="s">
        <v>188</v>
      </c>
      <c r="M19" s="190" t="s">
        <v>190</v>
      </c>
      <c r="N19" s="133" t="s">
        <v>191</v>
      </c>
      <c r="O19" s="134" t="s">
        <v>192</v>
      </c>
    </row>
    <row r="20" spans="1:15" ht="17.25" x14ac:dyDescent="0.25">
      <c r="A20" s="111" t="s">
        <v>112</v>
      </c>
      <c r="B20" s="172" t="s">
        <v>24</v>
      </c>
      <c r="C20" s="111" t="s">
        <v>2</v>
      </c>
      <c r="D20" s="111">
        <v>96973</v>
      </c>
      <c r="E20" s="111" t="s">
        <v>6</v>
      </c>
      <c r="F20" s="176">
        <v>1136</v>
      </c>
      <c r="G20" s="113">
        <v>49.32</v>
      </c>
      <c r="H20" s="113">
        <f>Tabela14[[#This Row],[VALOR UNITÁRIO]]*Tabela14[[#This Row],[QUANT.]]</f>
        <v>56027.519999999997</v>
      </c>
      <c r="I20" s="148">
        <f>Tabela14[[#This Row],[TOTAL]]/Tabela14[[#Totals],[TOTAL]]</f>
        <v>0.20991233707631815</v>
      </c>
      <c r="J20" s="177">
        <f>Tabela14[[#This Row],[PARTICIPAÇÃO INDIVIDUAL]]</f>
        <v>0.20991233707631815</v>
      </c>
      <c r="K20" s="160" t="str">
        <f>IF(J20&lt;=$M$20,"A",IF(J20&lt;=$M$21,"B","C"))</f>
        <v>A</v>
      </c>
      <c r="L20" s="157" t="s">
        <v>172</v>
      </c>
      <c r="M20" s="155">
        <v>0.8</v>
      </c>
      <c r="N20" s="148">
        <f>COUNTIF($K$20:$K$63,L20)/COUNTA($K$20:$K$63)</f>
        <v>0.13636363636363635</v>
      </c>
      <c r="O20" s="148">
        <f>COUNTIF($K$20:$K$63,L20)/COUNTA($I$20:$I$63)</f>
        <v>0.13636363636363635</v>
      </c>
    </row>
    <row r="21" spans="1:15" x14ac:dyDescent="0.25">
      <c r="A21" s="73" t="s">
        <v>154</v>
      </c>
      <c r="B21" s="27" t="s">
        <v>97</v>
      </c>
      <c r="C21" s="73" t="s">
        <v>184</v>
      </c>
      <c r="D21" s="73" t="s">
        <v>183</v>
      </c>
      <c r="E21" s="73" t="s">
        <v>5</v>
      </c>
      <c r="F21" s="171">
        <v>1</v>
      </c>
      <c r="G21" s="82">
        <v>51146</v>
      </c>
      <c r="H21" s="82">
        <f>Tabela14[[#This Row],[VALOR UNITÁRIO]]*Tabela14[[#This Row],[QUANT.]]</f>
        <v>51146</v>
      </c>
      <c r="I21" s="149">
        <f>Tabela14[[#This Row],[TOTAL]]/Tabela14[[#Totals],[TOTAL]]</f>
        <v>0.1916232664252383</v>
      </c>
      <c r="J21" s="167">
        <f>J20+Tabela14[[#This Row],[PARTICIPAÇÃO INDIVIDUAL]]</f>
        <v>0.40153560350155648</v>
      </c>
      <c r="K21" s="161" t="str">
        <f t="shared" ref="K21:K63" si="0">IF(J21&lt;=$M$20,"A",IF(J21&lt;=$M$21,"B","C"))</f>
        <v>A</v>
      </c>
      <c r="L21" s="158" t="s">
        <v>173</v>
      </c>
      <c r="M21" s="147">
        <v>0.95</v>
      </c>
      <c r="N21" s="149">
        <f t="shared" ref="N21:N22" si="1">COUNTIF($K$20:$K$63,L21)/COUNTA($K$20:$K$63)</f>
        <v>0.25</v>
      </c>
      <c r="O21" s="149">
        <f t="shared" ref="O21:O22" si="2">COUNTIF($K$20:$K$63,L21)/COUNTA($I$20:$I$63)</f>
        <v>0.25</v>
      </c>
    </row>
    <row r="22" spans="1:15" ht="18" customHeight="1" x14ac:dyDescent="0.25">
      <c r="A22" s="74" t="s">
        <v>108</v>
      </c>
      <c r="B22" s="170" t="s">
        <v>20</v>
      </c>
      <c r="C22" s="74" t="s">
        <v>2</v>
      </c>
      <c r="D22" s="74">
        <v>91677</v>
      </c>
      <c r="E22" s="74" t="s">
        <v>21</v>
      </c>
      <c r="F22" s="169">
        <v>330</v>
      </c>
      <c r="G22" s="84">
        <v>109.22</v>
      </c>
      <c r="H22" s="84">
        <f>Tabela14[[#This Row],[VALOR UNITÁRIO]]*Tabela14[[#This Row],[QUANT.]]</f>
        <v>36042.6</v>
      </c>
      <c r="I22" s="149">
        <f>Tabela14[[#This Row],[TOTAL]]/Tabela14[[#Totals],[TOTAL]]</f>
        <v>0.13503696755285446</v>
      </c>
      <c r="J22" s="167">
        <f>J21+Tabela14[[#This Row],[PARTICIPAÇÃO INDIVIDUAL]]</f>
        <v>0.53657257105441092</v>
      </c>
      <c r="K22" s="161" t="str">
        <f t="shared" si="0"/>
        <v>A</v>
      </c>
      <c r="L22" s="159" t="s">
        <v>174</v>
      </c>
      <c r="M22" s="156">
        <v>1</v>
      </c>
      <c r="N22" s="150">
        <f t="shared" si="1"/>
        <v>0.61363636363636365</v>
      </c>
      <c r="O22" s="150">
        <f t="shared" si="2"/>
        <v>0.61363636363636365</v>
      </c>
    </row>
    <row r="23" spans="1:15" ht="17.25" x14ac:dyDescent="0.25">
      <c r="A23" s="74" t="s">
        <v>141</v>
      </c>
      <c r="B23" s="168" t="s">
        <v>35</v>
      </c>
      <c r="C23" s="74" t="s">
        <v>2</v>
      </c>
      <c r="D23" s="74">
        <v>92986</v>
      </c>
      <c r="E23" s="74" t="s">
        <v>6</v>
      </c>
      <c r="F23" s="169">
        <v>550</v>
      </c>
      <c r="G23" s="84">
        <v>41.04</v>
      </c>
      <c r="H23" s="84">
        <f>Tabela14[[#This Row],[VALOR UNITÁRIO]]*Tabela14[[#This Row],[QUANT.]]</f>
        <v>22572</v>
      </c>
      <c r="I23" s="149">
        <f>Tabela14[[#This Row],[TOTAL]]/Tabela14[[#Totals],[TOTAL]]</f>
        <v>8.4568106396404011E-2</v>
      </c>
      <c r="J23" s="167">
        <f>J22+Tabela14[[#This Row],[PARTICIPAÇÃO INDIVIDUAL]]</f>
        <v>0.62114067745081492</v>
      </c>
      <c r="K23" s="161" t="str">
        <f t="shared" si="0"/>
        <v>A</v>
      </c>
      <c r="L23" s="32"/>
      <c r="M23" s="32"/>
    </row>
    <row r="24" spans="1:15" x14ac:dyDescent="0.25">
      <c r="A24" s="74" t="s">
        <v>152</v>
      </c>
      <c r="B24" s="41" t="s">
        <v>57</v>
      </c>
      <c r="C24" s="74" t="s">
        <v>2</v>
      </c>
      <c r="D24" s="74">
        <v>39469</v>
      </c>
      <c r="E24" s="74" t="s">
        <v>5</v>
      </c>
      <c r="F24" s="169">
        <v>252</v>
      </c>
      <c r="G24" s="84">
        <v>79.819999999999993</v>
      </c>
      <c r="H24" s="84">
        <f>Tabela14[[#This Row],[VALOR UNITÁRIO]]*Tabela14[[#This Row],[QUANT.]]</f>
        <v>20114.64</v>
      </c>
      <c r="I24" s="149">
        <f>Tabela14[[#This Row],[TOTAL]]/Tabela14[[#Totals],[TOTAL]]</f>
        <v>7.5361377620297876E-2</v>
      </c>
      <c r="J24" s="167">
        <f>J23+Tabela14[[#This Row],[PARTICIPAÇÃO INDIVIDUAL]]</f>
        <v>0.69650205507111274</v>
      </c>
      <c r="K24" s="161" t="str">
        <f t="shared" si="0"/>
        <v>A</v>
      </c>
      <c r="L24" s="32"/>
      <c r="M24" s="32"/>
    </row>
    <row r="25" spans="1:15" ht="17.25" x14ac:dyDescent="0.25">
      <c r="A25" s="75" t="s">
        <v>130</v>
      </c>
      <c r="B25" s="173" t="s">
        <v>25</v>
      </c>
      <c r="C25" s="75" t="s">
        <v>2</v>
      </c>
      <c r="D25" s="75">
        <v>96977</v>
      </c>
      <c r="E25" s="75" t="s">
        <v>6</v>
      </c>
      <c r="F25" s="146">
        <v>445</v>
      </c>
      <c r="G25" s="117">
        <v>41.94</v>
      </c>
      <c r="H25" s="117">
        <f>Tabela14[[#This Row],[VALOR UNITÁRIO]]*Tabela14[[#This Row],[QUANT.]]</f>
        <v>18663.3</v>
      </c>
      <c r="I25" s="150">
        <f>Tabela14[[#This Row],[TOTAL]]/Tabela14[[#Totals],[TOTAL]]</f>
        <v>6.9923796744108049E-2</v>
      </c>
      <c r="J25" s="178">
        <f>J24+Tabela14[[#This Row],[PARTICIPAÇÃO INDIVIDUAL]]</f>
        <v>0.76642585181522083</v>
      </c>
      <c r="K25" s="162" t="str">
        <f t="shared" si="0"/>
        <v>A</v>
      </c>
      <c r="L25" s="32"/>
      <c r="M25" s="32"/>
    </row>
    <row r="26" spans="1:15" x14ac:dyDescent="0.25">
      <c r="A26" s="111" t="s">
        <v>109</v>
      </c>
      <c r="B26" s="174" t="s">
        <v>23</v>
      </c>
      <c r="C26" s="111" t="s">
        <v>2</v>
      </c>
      <c r="D26" s="111">
        <v>93572</v>
      </c>
      <c r="E26" s="111" t="s">
        <v>9</v>
      </c>
      <c r="F26" s="176">
        <v>3</v>
      </c>
      <c r="G26" s="113">
        <v>3493.19</v>
      </c>
      <c r="H26" s="113">
        <f>Tabela14[[#This Row],[VALOR UNITÁRIO]]*Tabela14[[#This Row],[QUANT.]]</f>
        <v>10479.57</v>
      </c>
      <c r="I26" s="148">
        <f>Tabela14[[#This Row],[TOTAL]]/Tabela14[[#Totals],[TOTAL]]</f>
        <v>3.9262687876509106E-2</v>
      </c>
      <c r="J26" s="177">
        <f>J25+Tabela14[[#This Row],[PARTICIPAÇÃO INDIVIDUAL]]</f>
        <v>0.80568853969172993</v>
      </c>
      <c r="K26" s="160" t="str">
        <f t="shared" si="0"/>
        <v>B</v>
      </c>
      <c r="L26" s="32"/>
      <c r="M26" s="32"/>
    </row>
    <row r="27" spans="1:15" ht="17.25" x14ac:dyDescent="0.25">
      <c r="A27" s="74" t="s">
        <v>135</v>
      </c>
      <c r="B27" s="168" t="s">
        <v>58</v>
      </c>
      <c r="C27" s="74" t="s">
        <v>2</v>
      </c>
      <c r="D27" s="74">
        <v>93358</v>
      </c>
      <c r="E27" s="74" t="s">
        <v>10</v>
      </c>
      <c r="F27" s="169">
        <v>111.25</v>
      </c>
      <c r="G27" s="84">
        <v>72.069999999999993</v>
      </c>
      <c r="H27" s="84">
        <f>Tabela14[[#This Row],[VALOR UNITÁRIO]]*Tabela14[[#This Row],[QUANT.]]</f>
        <v>8017.7874999999995</v>
      </c>
      <c r="I27" s="149">
        <f>Tabela14[[#This Row],[TOTAL]]/Tabela14[[#Totals],[TOTAL]]</f>
        <v>3.0039389791057861E-2</v>
      </c>
      <c r="J27" s="167">
        <f>J26+Tabela14[[#This Row],[PARTICIPAÇÃO INDIVIDUAL]]</f>
        <v>0.83572792948278785</v>
      </c>
      <c r="K27" s="161" t="str">
        <f t="shared" si="0"/>
        <v>B</v>
      </c>
      <c r="L27" s="32"/>
      <c r="M27" s="32"/>
    </row>
    <row r="28" spans="1:15" ht="30" x14ac:dyDescent="0.25">
      <c r="A28" s="74" t="s">
        <v>150</v>
      </c>
      <c r="B28" s="41" t="s">
        <v>72</v>
      </c>
      <c r="C28" s="74" t="s">
        <v>2</v>
      </c>
      <c r="D28" s="74">
        <v>94995</v>
      </c>
      <c r="E28" s="81" t="s">
        <v>75</v>
      </c>
      <c r="F28" s="169">
        <v>80</v>
      </c>
      <c r="G28" s="84">
        <v>98.94</v>
      </c>
      <c r="H28" s="84">
        <f>Tabela14[[#This Row],[VALOR UNITÁRIO]]*Tabela14[[#This Row],[QUANT.]]</f>
        <v>7915.2</v>
      </c>
      <c r="I28" s="149">
        <f>Tabela14[[#This Row],[TOTAL]]/Tabela14[[#Totals],[TOTAL]]</f>
        <v>2.9655036139855439E-2</v>
      </c>
      <c r="J28" s="167">
        <f>J27+Tabela14[[#This Row],[PARTICIPAÇÃO INDIVIDUAL]]</f>
        <v>0.86538296562264327</v>
      </c>
      <c r="K28" s="161" t="str">
        <f t="shared" si="0"/>
        <v>B</v>
      </c>
      <c r="L28" s="32"/>
      <c r="M28" s="32"/>
    </row>
    <row r="29" spans="1:15" ht="17.25" x14ac:dyDescent="0.25">
      <c r="A29" s="74" t="s">
        <v>142</v>
      </c>
      <c r="B29" s="168" t="s">
        <v>36</v>
      </c>
      <c r="C29" s="74" t="s">
        <v>2</v>
      </c>
      <c r="D29" s="74">
        <v>91928</v>
      </c>
      <c r="E29" s="74" t="s">
        <v>6</v>
      </c>
      <c r="F29" s="169">
        <v>600</v>
      </c>
      <c r="G29" s="84">
        <v>7.06</v>
      </c>
      <c r="H29" s="84">
        <f>Tabela14[[#This Row],[VALOR UNITÁRIO]]*Tabela14[[#This Row],[QUANT.]]</f>
        <v>4236</v>
      </c>
      <c r="I29" s="149">
        <f>Tabela14[[#This Row],[TOTAL]]/Tabela14[[#Totals],[TOTAL]]</f>
        <v>1.5870569674604259E-2</v>
      </c>
      <c r="J29" s="167">
        <f>J28+Tabela14[[#This Row],[PARTICIPAÇÃO INDIVIDUAL]]</f>
        <v>0.88125353529724748</v>
      </c>
      <c r="K29" s="161" t="str">
        <f t="shared" si="0"/>
        <v>B</v>
      </c>
      <c r="L29" s="32"/>
      <c r="M29" s="32"/>
    </row>
    <row r="30" spans="1:15" ht="30" x14ac:dyDescent="0.25">
      <c r="A30" s="74" t="s">
        <v>132</v>
      </c>
      <c r="B30" s="72" t="s">
        <v>180</v>
      </c>
      <c r="C30" s="74" t="s">
        <v>77</v>
      </c>
      <c r="D30" s="74">
        <v>9723</v>
      </c>
      <c r="E30" s="74" t="s">
        <v>5</v>
      </c>
      <c r="F30" s="169">
        <v>24</v>
      </c>
      <c r="G30" s="84">
        <v>169.9</v>
      </c>
      <c r="H30" s="84">
        <f>Tabela14[[#This Row],[VALOR UNITÁRIO]]*Tabela14[[#This Row],[QUANT.]]</f>
        <v>4077.6000000000004</v>
      </c>
      <c r="I30" s="149">
        <f>Tabela14[[#This Row],[TOTAL]]/Tabela14[[#Totals],[TOTAL]]</f>
        <v>1.5277109278840023E-2</v>
      </c>
      <c r="J30" s="167">
        <f>J29+Tabela14[[#This Row],[PARTICIPAÇÃO INDIVIDUAL]]</f>
        <v>0.89653064457608755</v>
      </c>
      <c r="K30" s="161" t="str">
        <f t="shared" si="0"/>
        <v>B</v>
      </c>
      <c r="L30" s="32"/>
      <c r="M30" s="32"/>
    </row>
    <row r="31" spans="1:15" x14ac:dyDescent="0.25">
      <c r="A31" s="74" t="s">
        <v>122</v>
      </c>
      <c r="B31" s="71" t="s">
        <v>178</v>
      </c>
      <c r="C31" s="74" t="s">
        <v>77</v>
      </c>
      <c r="D31" s="74">
        <v>11865</v>
      </c>
      <c r="E31" s="74" t="s">
        <v>6</v>
      </c>
      <c r="F31" s="169">
        <v>96</v>
      </c>
      <c r="G31" s="84">
        <v>32.44</v>
      </c>
      <c r="H31" s="84">
        <f>Tabela14[[#This Row],[VALOR UNITÁRIO]]*Tabela14[[#This Row],[QUANT.]]</f>
        <v>3114.24</v>
      </c>
      <c r="I31" s="149">
        <f>Tabela14[[#This Row],[TOTAL]]/Tabela14[[#Totals],[TOTAL]]</f>
        <v>1.166779105369206E-2</v>
      </c>
      <c r="J31" s="167">
        <f>J30+Tabela14[[#This Row],[PARTICIPAÇÃO INDIVIDUAL]]</f>
        <v>0.90819843562977964</v>
      </c>
      <c r="K31" s="161" t="str">
        <f t="shared" si="0"/>
        <v>B</v>
      </c>
      <c r="L31" s="32"/>
      <c r="M31" s="32"/>
    </row>
    <row r="32" spans="1:15" x14ac:dyDescent="0.25">
      <c r="A32" s="73" t="s">
        <v>153</v>
      </c>
      <c r="B32" s="27" t="s">
        <v>59</v>
      </c>
      <c r="C32" s="73" t="s">
        <v>77</v>
      </c>
      <c r="D32" s="73">
        <v>12638</v>
      </c>
      <c r="E32" s="73" t="s">
        <v>5</v>
      </c>
      <c r="F32" s="171">
        <v>1</v>
      </c>
      <c r="G32" s="82">
        <v>3000</v>
      </c>
      <c r="H32" s="82">
        <f>Tabela14[[#This Row],[VALOR UNITÁRIO]]*Tabela14[[#This Row],[QUANT.]]</f>
        <v>3000</v>
      </c>
      <c r="I32" s="149">
        <f>Tabela14[[#This Row],[TOTAL]]/Tabela14[[#Totals],[TOTAL]]</f>
        <v>1.123978022280755E-2</v>
      </c>
      <c r="J32" s="167">
        <f>J31+Tabela14[[#This Row],[PARTICIPAÇÃO INDIVIDUAL]]</f>
        <v>0.91943821585258723</v>
      </c>
      <c r="K32" s="161" t="str">
        <f t="shared" si="0"/>
        <v>B</v>
      </c>
      <c r="L32" s="32"/>
      <c r="M32" s="32"/>
    </row>
    <row r="33" spans="1:13" ht="30" x14ac:dyDescent="0.25">
      <c r="A33" s="74" t="s">
        <v>107</v>
      </c>
      <c r="B33" s="41" t="s">
        <v>76</v>
      </c>
      <c r="C33" s="74" t="s">
        <v>2</v>
      </c>
      <c r="D33" s="74">
        <v>10776</v>
      </c>
      <c r="E33" s="74" t="s">
        <v>9</v>
      </c>
      <c r="F33" s="169">
        <v>3</v>
      </c>
      <c r="G33" s="84">
        <v>722.65</v>
      </c>
      <c r="H33" s="84">
        <f>Tabela14[[#This Row],[VALOR UNITÁRIO]]*Tabela14[[#This Row],[QUANT.]]</f>
        <v>2167.9499999999998</v>
      </c>
      <c r="I33" s="149">
        <f>Tabela14[[#This Row],[TOTAL]]/Tabela14[[#Totals],[TOTAL]]</f>
        <v>8.1224271780118758E-3</v>
      </c>
      <c r="J33" s="167">
        <f>J32+Tabela14[[#This Row],[PARTICIPAÇÃO INDIVIDUAL]]</f>
        <v>0.92756064303059915</v>
      </c>
      <c r="K33" s="161" t="str">
        <f t="shared" si="0"/>
        <v>B</v>
      </c>
      <c r="L33" s="32"/>
      <c r="M33" s="32"/>
    </row>
    <row r="34" spans="1:13" ht="30" x14ac:dyDescent="0.25">
      <c r="A34" s="74" t="s">
        <v>157</v>
      </c>
      <c r="B34" s="71" t="s">
        <v>177</v>
      </c>
      <c r="C34" s="74" t="s">
        <v>77</v>
      </c>
      <c r="D34" s="74">
        <v>9207</v>
      </c>
      <c r="E34" s="74" t="s">
        <v>5</v>
      </c>
      <c r="F34" s="169">
        <v>4</v>
      </c>
      <c r="G34" s="84">
        <v>526.20000000000005</v>
      </c>
      <c r="H34" s="84">
        <f>Tabela14[[#This Row],[VALOR UNITÁRIO]]*Tabela14[[#This Row],[QUANT.]]</f>
        <v>2104.8000000000002</v>
      </c>
      <c r="I34" s="149">
        <f>Tabela14[[#This Row],[TOTAL]]/Tabela14[[#Totals],[TOTAL]]</f>
        <v>7.885829804321778E-3</v>
      </c>
      <c r="J34" s="167">
        <f>J33+Tabela14[[#This Row],[PARTICIPAÇÃO INDIVIDUAL]]</f>
        <v>0.93544647283492088</v>
      </c>
      <c r="K34" s="161" t="str">
        <f t="shared" si="0"/>
        <v>B</v>
      </c>
      <c r="L34" s="32"/>
      <c r="M34" s="32"/>
    </row>
    <row r="35" spans="1:13" ht="17.25" x14ac:dyDescent="0.25">
      <c r="A35" s="75" t="s">
        <v>145</v>
      </c>
      <c r="B35" s="175" t="s">
        <v>37</v>
      </c>
      <c r="C35" s="75" t="s">
        <v>2</v>
      </c>
      <c r="D35" s="75">
        <v>1535</v>
      </c>
      <c r="E35" s="75" t="s">
        <v>5</v>
      </c>
      <c r="F35" s="146">
        <v>400</v>
      </c>
      <c r="G35" s="117">
        <v>4.68</v>
      </c>
      <c r="H35" s="117">
        <f>Tabela14[[#This Row],[VALOR UNITÁRIO]]*Tabela14[[#This Row],[QUANT.]]</f>
        <v>1872</v>
      </c>
      <c r="I35" s="150">
        <f>Tabela14[[#This Row],[TOTAL]]/Tabela14[[#Totals],[TOTAL]]</f>
        <v>7.0136228590319113E-3</v>
      </c>
      <c r="J35" s="178">
        <f>J34+Tabela14[[#This Row],[PARTICIPAÇÃO INDIVIDUAL]]</f>
        <v>0.94246009569395284</v>
      </c>
      <c r="K35" s="162" t="str">
        <f t="shared" si="0"/>
        <v>B</v>
      </c>
      <c r="L35" s="32"/>
      <c r="M35" s="32"/>
    </row>
    <row r="36" spans="1:13" x14ac:dyDescent="0.25">
      <c r="A36" s="111" t="s">
        <v>106</v>
      </c>
      <c r="B36" s="174" t="s">
        <v>19</v>
      </c>
      <c r="C36" s="111" t="s">
        <v>2</v>
      </c>
      <c r="D36" s="111">
        <v>41805</v>
      </c>
      <c r="E36" s="111" t="s">
        <v>9</v>
      </c>
      <c r="F36" s="176">
        <v>3</v>
      </c>
      <c r="G36" s="113">
        <v>565</v>
      </c>
      <c r="H36" s="113">
        <f>Tabela14[[#This Row],[VALOR UNITÁRIO]]*Tabela14[[#This Row],[QUANT.]]</f>
        <v>1695</v>
      </c>
      <c r="I36" s="148">
        <f>Tabela14[[#This Row],[TOTAL]]/Tabela14[[#Totals],[TOTAL]]</f>
        <v>6.350475825886266E-3</v>
      </c>
      <c r="J36" s="152">
        <f>J35+Tabela14[[#This Row],[PARTICIPAÇÃO INDIVIDUAL]]</f>
        <v>0.94881057151983905</v>
      </c>
      <c r="K36" s="187" t="str">
        <f t="shared" si="0"/>
        <v>B</v>
      </c>
      <c r="L36" s="32"/>
      <c r="M36" s="32"/>
    </row>
    <row r="37" spans="1:13" ht="30" x14ac:dyDescent="0.25">
      <c r="A37" s="74" t="s">
        <v>116</v>
      </c>
      <c r="B37" s="71" t="s">
        <v>176</v>
      </c>
      <c r="C37" s="74" t="s">
        <v>77</v>
      </c>
      <c r="D37" s="74">
        <v>11006</v>
      </c>
      <c r="E37" s="74" t="s">
        <v>5</v>
      </c>
      <c r="F37" s="169">
        <v>1000</v>
      </c>
      <c r="G37" s="84">
        <v>1.64</v>
      </c>
      <c r="H37" s="84">
        <f>Tabela14[[#This Row],[VALOR UNITÁRIO]]*Tabela14[[#This Row],[QUANT.]]</f>
        <v>1640</v>
      </c>
      <c r="I37" s="149">
        <f>Tabela14[[#This Row],[TOTAL]]/Tabela14[[#Totals],[TOTAL]]</f>
        <v>6.144413188468127E-3</v>
      </c>
      <c r="J37" s="153">
        <f>J36+Tabela14[[#This Row],[PARTICIPAÇÃO INDIVIDUAL]]</f>
        <v>0.9549549847083072</v>
      </c>
      <c r="K37" s="188" t="str">
        <f t="shared" si="0"/>
        <v>C</v>
      </c>
      <c r="L37" s="32"/>
      <c r="M37" s="32"/>
    </row>
    <row r="38" spans="1:13" x14ac:dyDescent="0.25">
      <c r="A38" s="74" t="s">
        <v>131</v>
      </c>
      <c r="B38" s="168" t="s">
        <v>31</v>
      </c>
      <c r="C38" s="74" t="s">
        <v>2</v>
      </c>
      <c r="D38" s="74">
        <v>98111</v>
      </c>
      <c r="E38" s="74" t="s">
        <v>5</v>
      </c>
      <c r="F38" s="169">
        <v>24</v>
      </c>
      <c r="G38" s="84">
        <v>57.68</v>
      </c>
      <c r="H38" s="84">
        <f>Tabela14[[#This Row],[VALOR UNITÁRIO]]*Tabela14[[#This Row],[QUANT.]]</f>
        <v>1384.32</v>
      </c>
      <c r="I38" s="149">
        <f>Tabela14[[#This Row],[TOTAL]]/Tabela14[[#Totals],[TOTAL]]</f>
        <v>5.1864841860123157E-3</v>
      </c>
      <c r="J38" s="153">
        <f>J37+Tabela14[[#This Row],[PARTICIPAÇÃO INDIVIDUAL]]</f>
        <v>0.96014146889431951</v>
      </c>
      <c r="K38" s="188" t="str">
        <f t="shared" si="0"/>
        <v>C</v>
      </c>
      <c r="L38" s="32"/>
      <c r="M38" s="32"/>
    </row>
    <row r="39" spans="1:13" x14ac:dyDescent="0.25">
      <c r="A39" s="74" t="s">
        <v>134</v>
      </c>
      <c r="B39" s="168" t="s">
        <v>41</v>
      </c>
      <c r="C39" s="74" t="s">
        <v>2</v>
      </c>
      <c r="D39" s="74">
        <v>98111</v>
      </c>
      <c r="E39" s="74" t="s">
        <v>5</v>
      </c>
      <c r="F39" s="169">
        <v>24</v>
      </c>
      <c r="G39" s="84">
        <v>57.68</v>
      </c>
      <c r="H39" s="84">
        <f>Tabela14[[#This Row],[VALOR UNITÁRIO]]*Tabela14[[#This Row],[QUANT.]]</f>
        <v>1384.32</v>
      </c>
      <c r="I39" s="149">
        <f>Tabela14[[#This Row],[TOTAL]]/Tabela14[[#Totals],[TOTAL]]</f>
        <v>5.1864841860123157E-3</v>
      </c>
      <c r="J39" s="153">
        <f>J38+Tabela14[[#This Row],[PARTICIPAÇÃO INDIVIDUAL]]</f>
        <v>0.96532795308033181</v>
      </c>
      <c r="K39" s="188" t="str">
        <f t="shared" si="0"/>
        <v>C</v>
      </c>
      <c r="L39" s="32"/>
      <c r="M39" s="32"/>
    </row>
    <row r="40" spans="1:13" x14ac:dyDescent="0.25">
      <c r="A40" s="74" t="s">
        <v>143</v>
      </c>
      <c r="B40" s="168" t="s">
        <v>27</v>
      </c>
      <c r="C40" s="74" t="s">
        <v>2</v>
      </c>
      <c r="D40" s="74">
        <v>7583</v>
      </c>
      <c r="E40" s="74" t="s">
        <v>5</v>
      </c>
      <c r="F40" s="169">
        <v>1500</v>
      </c>
      <c r="G40" s="84">
        <v>0.67</v>
      </c>
      <c r="H40" s="84">
        <f>Tabela14[[#This Row],[VALOR UNITÁRIO]]*Tabela14[[#This Row],[QUANT.]]</f>
        <v>1005.0000000000001</v>
      </c>
      <c r="I40" s="149">
        <f>Tabela14[[#This Row],[TOTAL]]/Tabela14[[#Totals],[TOTAL]]</f>
        <v>3.7653263746405298E-3</v>
      </c>
      <c r="J40" s="153">
        <f>J39+Tabela14[[#This Row],[PARTICIPAÇÃO INDIVIDUAL]]</f>
        <v>0.96909327945497237</v>
      </c>
      <c r="K40" s="188" t="str">
        <f t="shared" si="0"/>
        <v>C</v>
      </c>
      <c r="L40" s="32"/>
      <c r="M40" s="32"/>
    </row>
    <row r="41" spans="1:13" x14ac:dyDescent="0.25">
      <c r="A41" s="74" t="s">
        <v>144</v>
      </c>
      <c r="B41" s="71" t="s">
        <v>33</v>
      </c>
      <c r="C41" s="74" t="s">
        <v>77</v>
      </c>
      <c r="D41" s="74">
        <v>10681</v>
      </c>
      <c r="E41" s="74" t="s">
        <v>5</v>
      </c>
      <c r="F41" s="169">
        <v>42</v>
      </c>
      <c r="G41" s="84">
        <v>22.09</v>
      </c>
      <c r="H41" s="84">
        <f>Tabela14[[#This Row],[VALOR UNITÁRIO]]*Tabela14[[#This Row],[QUANT.]]</f>
        <v>927.78</v>
      </c>
      <c r="I41" s="149">
        <f>Tabela14[[#This Row],[TOTAL]]/Tabela14[[#Totals],[TOTAL]]</f>
        <v>3.4760144317054625E-3</v>
      </c>
      <c r="J41" s="153">
        <f>J40+Tabela14[[#This Row],[PARTICIPAÇÃO INDIVIDUAL]]</f>
        <v>0.97256929388667779</v>
      </c>
      <c r="K41" s="188" t="str">
        <f t="shared" si="0"/>
        <v>C</v>
      </c>
      <c r="L41" s="32"/>
      <c r="M41" s="32"/>
    </row>
    <row r="42" spans="1:13" x14ac:dyDescent="0.25">
      <c r="A42" s="74" t="s">
        <v>126</v>
      </c>
      <c r="B42" s="71" t="s">
        <v>179</v>
      </c>
      <c r="C42" s="74" t="s">
        <v>77</v>
      </c>
      <c r="D42" s="74">
        <v>9329</v>
      </c>
      <c r="E42" s="74" t="s">
        <v>5</v>
      </c>
      <c r="F42" s="169">
        <v>24</v>
      </c>
      <c r="G42" s="84">
        <v>35.5</v>
      </c>
      <c r="H42" s="84">
        <f>Tabela14[[#This Row],[VALOR UNITÁRIO]]*Tabela14[[#This Row],[QUANT.]]</f>
        <v>852</v>
      </c>
      <c r="I42" s="149">
        <f>Tabela14[[#This Row],[TOTAL]]/Tabela14[[#Totals],[TOTAL]]</f>
        <v>3.192097583277344E-3</v>
      </c>
      <c r="J42" s="153">
        <f>J41+Tabela14[[#This Row],[PARTICIPAÇÃO INDIVIDUAL]]</f>
        <v>0.97576139146995511</v>
      </c>
      <c r="K42" s="188" t="str">
        <f t="shared" si="0"/>
        <v>C</v>
      </c>
      <c r="L42" s="32"/>
      <c r="M42" s="32"/>
    </row>
    <row r="43" spans="1:13" x14ac:dyDescent="0.25">
      <c r="A43" s="74" t="s">
        <v>160</v>
      </c>
      <c r="B43" s="168" t="s">
        <v>52</v>
      </c>
      <c r="C43" s="74" t="s">
        <v>184</v>
      </c>
      <c r="D43" s="74" t="s">
        <v>183</v>
      </c>
      <c r="E43" s="74" t="s">
        <v>5</v>
      </c>
      <c r="F43" s="169">
        <v>4</v>
      </c>
      <c r="G43" s="84">
        <v>251.22</v>
      </c>
      <c r="H43" s="84">
        <f>Tabela14[[#This Row],[VALOR UNITÁRIO]]*Tabela14[[#This Row],[QUANT.]]</f>
        <v>1004.88</v>
      </c>
      <c r="I43" s="149">
        <f>Tabela14[[#This Row],[TOTAL]]/Tabela14[[#Totals],[TOTAL]]</f>
        <v>3.7648767834316168E-3</v>
      </c>
      <c r="J43" s="153">
        <f>J42+Tabela14[[#This Row],[PARTICIPAÇÃO INDIVIDUAL]]</f>
        <v>0.97952626825338673</v>
      </c>
      <c r="K43" s="188" t="str">
        <f t="shared" si="0"/>
        <v>C</v>
      </c>
      <c r="L43" s="32"/>
      <c r="M43" s="32"/>
    </row>
    <row r="44" spans="1:13" x14ac:dyDescent="0.25">
      <c r="A44" s="74" t="s">
        <v>136</v>
      </c>
      <c r="B44" s="168" t="s">
        <v>70</v>
      </c>
      <c r="C44" s="74" t="s">
        <v>2</v>
      </c>
      <c r="D44" s="74">
        <v>97629</v>
      </c>
      <c r="E44" s="74" t="s">
        <v>71</v>
      </c>
      <c r="F44" s="169">
        <f>80*0.08</f>
        <v>6.4</v>
      </c>
      <c r="G44" s="84">
        <v>108.79</v>
      </c>
      <c r="H44" s="84">
        <f>Tabela14[[#This Row],[VALOR UNITÁRIO]]*Tabela14[[#This Row],[QUANT.]]</f>
        <v>696.25600000000009</v>
      </c>
      <c r="I44" s="149">
        <f>Tabela14[[#This Row],[TOTAL]]/Tabela14[[#Totals],[TOTAL]]</f>
        <v>2.6085881396036982E-3</v>
      </c>
      <c r="J44" s="153">
        <f>J43+Tabela14[[#This Row],[PARTICIPAÇÃO INDIVIDUAL]]</f>
        <v>0.98213485639299047</v>
      </c>
      <c r="K44" s="188" t="str">
        <f t="shared" si="0"/>
        <v>C</v>
      </c>
      <c r="L44" s="32"/>
      <c r="M44" s="32"/>
    </row>
    <row r="45" spans="1:13" x14ac:dyDescent="0.25">
      <c r="A45" s="74" t="s">
        <v>138</v>
      </c>
      <c r="B45" s="71" t="s">
        <v>54</v>
      </c>
      <c r="C45" s="74" t="s">
        <v>77</v>
      </c>
      <c r="D45" s="74">
        <v>9690</v>
      </c>
      <c r="E45" s="74" t="s">
        <v>5</v>
      </c>
      <c r="F45" s="169">
        <v>30</v>
      </c>
      <c r="G45" s="84">
        <v>20</v>
      </c>
      <c r="H45" s="84">
        <f>Tabela14[[#This Row],[VALOR UNITÁRIO]]*Tabela14[[#This Row],[QUANT.]]</f>
        <v>600</v>
      </c>
      <c r="I45" s="149">
        <f>Tabela14[[#This Row],[TOTAL]]/Tabela14[[#Totals],[TOTAL]]</f>
        <v>2.24795604456151E-3</v>
      </c>
      <c r="J45" s="153">
        <f>J44+Tabela14[[#This Row],[PARTICIPAÇÃO INDIVIDUAL]]</f>
        <v>0.98438281243755199</v>
      </c>
      <c r="K45" s="188" t="str">
        <f t="shared" si="0"/>
        <v>C</v>
      </c>
      <c r="L45" s="32"/>
      <c r="M45" s="32"/>
    </row>
    <row r="46" spans="1:13" x14ac:dyDescent="0.25">
      <c r="A46" s="74" t="s">
        <v>158</v>
      </c>
      <c r="B46" s="168" t="s">
        <v>48</v>
      </c>
      <c r="C46" s="74" t="s">
        <v>2</v>
      </c>
      <c r="D46" s="74">
        <v>96988</v>
      </c>
      <c r="E46" s="74" t="s">
        <v>5</v>
      </c>
      <c r="F46" s="169">
        <v>4</v>
      </c>
      <c r="G46" s="84">
        <v>140.49</v>
      </c>
      <c r="H46" s="84">
        <f>Tabela14[[#This Row],[VALOR UNITÁRIO]]*Tabela14[[#This Row],[QUANT.]]</f>
        <v>561.96</v>
      </c>
      <c r="I46" s="149">
        <f>Tabela14[[#This Row],[TOTAL]]/Tabela14[[#Totals],[TOTAL]]</f>
        <v>2.1054356313363102E-3</v>
      </c>
      <c r="J46" s="153">
        <f>J45+Tabela14[[#This Row],[PARTICIPAÇÃO INDIVIDUAL]]</f>
        <v>0.98648824806888835</v>
      </c>
      <c r="K46" s="188" t="str">
        <f t="shared" si="0"/>
        <v>C</v>
      </c>
      <c r="L46" s="32"/>
      <c r="M46" s="32"/>
    </row>
    <row r="47" spans="1:13" x14ac:dyDescent="0.25">
      <c r="A47" s="74" t="s">
        <v>156</v>
      </c>
      <c r="B47" s="168" t="s">
        <v>46</v>
      </c>
      <c r="C47" s="74" t="s">
        <v>2</v>
      </c>
      <c r="D47" s="74">
        <v>96989</v>
      </c>
      <c r="E47" s="74" t="s">
        <v>5</v>
      </c>
      <c r="F47" s="169">
        <v>4</v>
      </c>
      <c r="G47" s="84">
        <v>117.56</v>
      </c>
      <c r="H47" s="84">
        <f>Tabela14[[#This Row],[VALOR UNITÁRIO]]*Tabela14[[#This Row],[QUANT.]]</f>
        <v>470.24</v>
      </c>
      <c r="I47" s="149">
        <f>Tabela14[[#This Row],[TOTAL]]/Tabela14[[#Totals],[TOTAL]]</f>
        <v>1.7617980839910075E-3</v>
      </c>
      <c r="J47" s="153">
        <f>J46+Tabela14[[#This Row],[PARTICIPAÇÃO INDIVIDUAL]]</f>
        <v>0.98825004615287937</v>
      </c>
      <c r="K47" s="188" t="str">
        <f t="shared" si="0"/>
        <v>C</v>
      </c>
      <c r="L47" s="32"/>
      <c r="M47" s="32"/>
    </row>
    <row r="48" spans="1:13" x14ac:dyDescent="0.25">
      <c r="A48" s="74" t="s">
        <v>159</v>
      </c>
      <c r="B48" s="168" t="s">
        <v>49</v>
      </c>
      <c r="C48" s="74" t="s">
        <v>2</v>
      </c>
      <c r="D48" s="74">
        <v>96987</v>
      </c>
      <c r="E48" s="74" t="s">
        <v>5</v>
      </c>
      <c r="F48" s="169">
        <v>4</v>
      </c>
      <c r="G48" s="84">
        <v>95.1</v>
      </c>
      <c r="H48" s="84">
        <f>Tabela14[[#This Row],[VALOR UNITÁRIO]]*Tabela14[[#This Row],[QUANT.]]</f>
        <v>380.4</v>
      </c>
      <c r="I48" s="149">
        <f>Tabela14[[#This Row],[TOTAL]]/Tabela14[[#Totals],[TOTAL]]</f>
        <v>1.4252041322519971E-3</v>
      </c>
      <c r="J48" s="153">
        <f>J47+Tabela14[[#This Row],[PARTICIPAÇÃO INDIVIDUAL]]</f>
        <v>0.98967525028513137</v>
      </c>
      <c r="K48" s="188" t="str">
        <f t="shared" si="0"/>
        <v>C</v>
      </c>
      <c r="L48" s="32"/>
      <c r="M48" s="32"/>
    </row>
    <row r="49" spans="1:16" x14ac:dyDescent="0.25">
      <c r="A49" s="74" t="s">
        <v>148</v>
      </c>
      <c r="B49" s="41" t="s">
        <v>45</v>
      </c>
      <c r="C49" s="74" t="s">
        <v>77</v>
      </c>
      <c r="D49" s="74">
        <v>10418</v>
      </c>
      <c r="E49" s="74" t="s">
        <v>5</v>
      </c>
      <c r="F49" s="169">
        <v>1</v>
      </c>
      <c r="G49" s="84">
        <v>377.91</v>
      </c>
      <c r="H49" s="84">
        <f>Tabela14[[#This Row],[VALOR UNITÁRIO]]*Tabela14[[#This Row],[QUANT.]]</f>
        <v>377.91</v>
      </c>
      <c r="I49" s="149">
        <f>Tabela14[[#This Row],[TOTAL]]/Tabela14[[#Totals],[TOTAL]]</f>
        <v>1.4158751146670671E-3</v>
      </c>
      <c r="J49" s="153">
        <f>J48+Tabela14[[#This Row],[PARTICIPAÇÃO INDIVIDUAL]]</f>
        <v>0.99109112539979849</v>
      </c>
      <c r="K49" s="188" t="str">
        <f t="shared" si="0"/>
        <v>C</v>
      </c>
      <c r="L49" s="32"/>
      <c r="M49" s="32"/>
    </row>
    <row r="50" spans="1:16" x14ac:dyDescent="0.25">
      <c r="A50" s="74" t="s">
        <v>146</v>
      </c>
      <c r="B50" s="170" t="s">
        <v>43</v>
      </c>
      <c r="C50" s="74" t="s">
        <v>2</v>
      </c>
      <c r="D50" s="74">
        <v>2685</v>
      </c>
      <c r="E50" s="74" t="s">
        <v>5</v>
      </c>
      <c r="F50" s="169">
        <v>36</v>
      </c>
      <c r="G50" s="84">
        <v>7.49</v>
      </c>
      <c r="H50" s="84">
        <f>Tabela14[[#This Row],[VALOR UNITÁRIO]]*Tabela14[[#This Row],[QUANT.]]</f>
        <v>269.64</v>
      </c>
      <c r="I50" s="149">
        <f>Tabela14[[#This Row],[TOTAL]]/Tabela14[[#Totals],[TOTAL]]</f>
        <v>1.0102314464259425E-3</v>
      </c>
      <c r="J50" s="153">
        <f>J49+Tabela14[[#This Row],[PARTICIPAÇÃO INDIVIDUAL]]</f>
        <v>0.99210135684622447</v>
      </c>
      <c r="K50" s="188" t="str">
        <f t="shared" si="0"/>
        <v>C</v>
      </c>
      <c r="L50" s="32"/>
      <c r="M50" s="32"/>
    </row>
    <row r="51" spans="1:16" ht="17.25" x14ac:dyDescent="0.25">
      <c r="A51" s="74" t="s">
        <v>115</v>
      </c>
      <c r="B51" s="41" t="s">
        <v>32</v>
      </c>
      <c r="C51" s="74" t="s">
        <v>2</v>
      </c>
      <c r="D51" s="74">
        <v>11854</v>
      </c>
      <c r="E51" s="74" t="s">
        <v>5</v>
      </c>
      <c r="F51" s="169">
        <v>30</v>
      </c>
      <c r="G51" s="84">
        <v>8.67</v>
      </c>
      <c r="H51" s="84">
        <f>Tabela14[[#This Row],[VALOR UNITÁRIO]]*Tabela14[[#This Row],[QUANT.]]</f>
        <v>260.10000000000002</v>
      </c>
      <c r="I51" s="149">
        <f>Tabela14[[#This Row],[TOTAL]]/Tabela14[[#Totals],[TOTAL]]</f>
        <v>9.7448894531741465E-4</v>
      </c>
      <c r="J51" s="153">
        <f>J50+Tabela14[[#This Row],[PARTICIPAÇÃO INDIVIDUAL]]</f>
        <v>0.99307584579154184</v>
      </c>
      <c r="K51" s="188" t="str">
        <f t="shared" si="0"/>
        <v>C</v>
      </c>
      <c r="L51" s="32"/>
      <c r="M51" s="32"/>
    </row>
    <row r="52" spans="1:16" x14ac:dyDescent="0.25">
      <c r="A52" s="73" t="s">
        <v>105</v>
      </c>
      <c r="B52" s="27" t="s">
        <v>18</v>
      </c>
      <c r="C52" s="73" t="s">
        <v>73</v>
      </c>
      <c r="D52" s="73" t="s">
        <v>183</v>
      </c>
      <c r="E52" s="73" t="s">
        <v>5</v>
      </c>
      <c r="F52" s="171">
        <v>1</v>
      </c>
      <c r="G52" s="82">
        <v>233.94</v>
      </c>
      <c r="H52" s="82">
        <f>Tabela14[[#This Row],[VALOR UNITÁRIO]]*Tabela14[[#This Row],[QUANT.]]</f>
        <v>233.94</v>
      </c>
      <c r="I52" s="149">
        <f>Tabela14[[#This Row],[TOTAL]]/Tabela14[[#Totals],[TOTAL]]</f>
        <v>8.7647806177453273E-4</v>
      </c>
      <c r="J52" s="153">
        <f>J51+Tabela14[[#This Row],[PARTICIPAÇÃO INDIVIDUAL]]</f>
        <v>0.99395232385331633</v>
      </c>
      <c r="K52" s="188" t="str">
        <f t="shared" si="0"/>
        <v>C</v>
      </c>
      <c r="L52" s="32"/>
      <c r="M52" s="32"/>
    </row>
    <row r="53" spans="1:16" x14ac:dyDescent="0.25">
      <c r="A53" s="74" t="s">
        <v>128</v>
      </c>
      <c r="B53" s="168" t="s">
        <v>56</v>
      </c>
      <c r="C53" s="74" t="s">
        <v>2</v>
      </c>
      <c r="D53" s="74">
        <v>39961</v>
      </c>
      <c r="E53" s="74" t="s">
        <v>5</v>
      </c>
      <c r="F53" s="169">
        <v>10</v>
      </c>
      <c r="G53" s="84">
        <v>21.67</v>
      </c>
      <c r="H53" s="84">
        <f>Tabela14[[#This Row],[VALOR UNITÁRIO]]*Tabela14[[#This Row],[QUANT.]]</f>
        <v>216.70000000000002</v>
      </c>
      <c r="I53" s="149">
        <f>Tabela14[[#This Row],[TOTAL]]/Tabela14[[#Totals],[TOTAL]]</f>
        <v>8.1188679142746539E-4</v>
      </c>
      <c r="J53" s="153">
        <f>J52+Tabela14[[#This Row],[PARTICIPAÇÃO INDIVIDUAL]]</f>
        <v>0.99476421064474385</v>
      </c>
      <c r="K53" s="188" t="str">
        <f t="shared" si="0"/>
        <v>C</v>
      </c>
      <c r="L53" s="32"/>
      <c r="M53" s="32"/>
    </row>
    <row r="54" spans="1:16" x14ac:dyDescent="0.25">
      <c r="A54" s="74" t="s">
        <v>137</v>
      </c>
      <c r="B54" s="71" t="s">
        <v>53</v>
      </c>
      <c r="C54" s="74" t="s">
        <v>77</v>
      </c>
      <c r="D54" s="74">
        <v>10339</v>
      </c>
      <c r="E54" s="74" t="s">
        <v>5</v>
      </c>
      <c r="F54" s="169">
        <v>1</v>
      </c>
      <c r="G54" s="122">
        <v>214.09</v>
      </c>
      <c r="H54" s="84">
        <f>Tabela14[[#This Row],[VALOR UNITÁRIO]]*Tabela14[[#This Row],[QUANT.]]</f>
        <v>214.09</v>
      </c>
      <c r="I54" s="149">
        <f>Tabela14[[#This Row],[TOTAL]]/Tabela14[[#Totals],[TOTAL]]</f>
        <v>8.021081826336228E-4</v>
      </c>
      <c r="J54" s="153">
        <f>J53+Tabela14[[#This Row],[PARTICIPAÇÃO INDIVIDUAL]]</f>
        <v>0.99556631882737745</v>
      </c>
      <c r="K54" s="188" t="str">
        <f t="shared" si="0"/>
        <v>C</v>
      </c>
      <c r="L54" s="32"/>
      <c r="M54" s="32"/>
    </row>
    <row r="55" spans="1:16" x14ac:dyDescent="0.25">
      <c r="A55" s="74" t="s">
        <v>162</v>
      </c>
      <c r="B55" s="168" t="s">
        <v>51</v>
      </c>
      <c r="C55" s="74" t="s">
        <v>184</v>
      </c>
      <c r="D55" s="74" t="s">
        <v>183</v>
      </c>
      <c r="E55" s="74" t="s">
        <v>5</v>
      </c>
      <c r="F55" s="169">
        <v>4</v>
      </c>
      <c r="G55" s="84">
        <v>62.53</v>
      </c>
      <c r="H55" s="84">
        <f>Tabela14[[#This Row],[VALOR UNITÁRIO]]*Tabela14[[#This Row],[QUANT.]]</f>
        <v>250.12</v>
      </c>
      <c r="I55" s="149">
        <f>Tabela14[[#This Row],[TOTAL]]/Tabela14[[#Totals],[TOTAL]]</f>
        <v>9.3709794310954143E-4</v>
      </c>
      <c r="J55" s="153">
        <f>J54+Tabela14[[#This Row],[PARTICIPAÇÃO INDIVIDUAL]]</f>
        <v>0.99650341677048704</v>
      </c>
      <c r="K55" s="188" t="str">
        <f t="shared" si="0"/>
        <v>C</v>
      </c>
      <c r="L55" s="32"/>
      <c r="M55" s="32"/>
    </row>
    <row r="56" spans="1:16" x14ac:dyDescent="0.25">
      <c r="A56" s="74" t="s">
        <v>127</v>
      </c>
      <c r="B56" s="168" t="s">
        <v>28</v>
      </c>
      <c r="C56" s="74" t="s">
        <v>2</v>
      </c>
      <c r="D56" s="74">
        <v>7571</v>
      </c>
      <c r="E56" s="74" t="s">
        <v>5</v>
      </c>
      <c r="F56" s="169">
        <v>16</v>
      </c>
      <c r="G56" s="84">
        <v>9.89</v>
      </c>
      <c r="H56" s="84">
        <f>Tabela14[[#This Row],[VALOR UNITÁRIO]]*Tabela14[[#This Row],[QUANT.]]</f>
        <v>158.24</v>
      </c>
      <c r="I56" s="149">
        <f>Tabela14[[#This Row],[TOTAL]]/Tabela14[[#Totals],[TOTAL]]</f>
        <v>5.9286094081902226E-4</v>
      </c>
      <c r="J56" s="153">
        <f>J55+Tabela14[[#This Row],[PARTICIPAÇÃO INDIVIDUAL]]</f>
        <v>0.99709627771130604</v>
      </c>
      <c r="K56" s="188" t="str">
        <f t="shared" si="0"/>
        <v>C</v>
      </c>
      <c r="L56" s="32"/>
      <c r="M56" s="32"/>
    </row>
    <row r="57" spans="1:16" x14ac:dyDescent="0.25">
      <c r="A57" s="74" t="s">
        <v>161</v>
      </c>
      <c r="B57" s="168" t="s">
        <v>50</v>
      </c>
      <c r="C57" s="74" t="s">
        <v>184</v>
      </c>
      <c r="D57" s="74" t="s">
        <v>183</v>
      </c>
      <c r="E57" s="74" t="s">
        <v>5</v>
      </c>
      <c r="F57" s="169">
        <v>4</v>
      </c>
      <c r="G57" s="84">
        <v>71.83</v>
      </c>
      <c r="H57" s="84">
        <f>Tabela14[[#This Row],[VALOR UNITÁRIO]]*Tabela14[[#This Row],[QUANT.]]</f>
        <v>287.32</v>
      </c>
      <c r="I57" s="149">
        <f>Tabela14[[#This Row],[TOTAL]]/Tabela14[[#Totals],[TOTAL]]</f>
        <v>1.076471217872355E-3</v>
      </c>
      <c r="J57" s="153">
        <f>J56+Tabela14[[#This Row],[PARTICIPAÇÃO INDIVIDUAL]]</f>
        <v>0.9981727489291784</v>
      </c>
      <c r="K57" s="188" t="str">
        <f t="shared" si="0"/>
        <v>C</v>
      </c>
      <c r="L57" s="32"/>
      <c r="M57" s="32"/>
    </row>
    <row r="58" spans="1:16" ht="17.25" x14ac:dyDescent="0.25">
      <c r="A58" s="74" t="s">
        <v>133</v>
      </c>
      <c r="B58" s="168" t="s">
        <v>34</v>
      </c>
      <c r="C58" s="74" t="s">
        <v>2</v>
      </c>
      <c r="D58" s="74">
        <v>1578</v>
      </c>
      <c r="E58" s="74" t="s">
        <v>5</v>
      </c>
      <c r="F58" s="169">
        <v>24</v>
      </c>
      <c r="G58" s="84">
        <v>4.59</v>
      </c>
      <c r="H58" s="84">
        <f>Tabela14[[#This Row],[VALOR UNITÁRIO]]*Tabela14[[#This Row],[QUANT.]]</f>
        <v>110.16</v>
      </c>
      <c r="I58" s="149">
        <f>Tabela14[[#This Row],[TOTAL]]/Tabela14[[#Totals],[TOTAL]]</f>
        <v>4.1272472978149321E-4</v>
      </c>
      <c r="J58" s="153">
        <f>J57+Tabela14[[#This Row],[PARTICIPAÇÃO INDIVIDUAL]]</f>
        <v>0.99858547365895989</v>
      </c>
      <c r="K58" s="188" t="str">
        <f t="shared" si="0"/>
        <v>C</v>
      </c>
      <c r="L58" s="32"/>
      <c r="M58" s="32"/>
    </row>
    <row r="59" spans="1:16" x14ac:dyDescent="0.25">
      <c r="A59" s="74" t="s">
        <v>139</v>
      </c>
      <c r="B59" s="168" t="s">
        <v>55</v>
      </c>
      <c r="C59" s="74" t="s">
        <v>184</v>
      </c>
      <c r="D59" s="74" t="s">
        <v>183</v>
      </c>
      <c r="E59" s="74" t="s">
        <v>5</v>
      </c>
      <c r="F59" s="169">
        <v>1</v>
      </c>
      <c r="G59" s="84">
        <v>130.35</v>
      </c>
      <c r="H59" s="84">
        <f>Tabela14[[#This Row],[VALOR UNITÁRIO]]*Tabela14[[#This Row],[QUANT.]]</f>
        <v>130.35</v>
      </c>
      <c r="I59" s="149">
        <f>Tabela14[[#This Row],[TOTAL]]/Tabela14[[#Totals],[TOTAL]]</f>
        <v>4.8836845068098806E-4</v>
      </c>
      <c r="J59" s="153">
        <f>J58+Tabela14[[#This Row],[PARTICIPAÇÃO INDIVIDUAL]]</f>
        <v>0.9990738421096409</v>
      </c>
      <c r="K59" s="188" t="str">
        <f t="shared" si="0"/>
        <v>C</v>
      </c>
      <c r="L59" s="32"/>
      <c r="M59" s="32"/>
    </row>
    <row r="60" spans="1:16" x14ac:dyDescent="0.25">
      <c r="A60" s="74" t="s">
        <v>147</v>
      </c>
      <c r="B60" s="41" t="s">
        <v>44</v>
      </c>
      <c r="C60" s="74" t="s">
        <v>2</v>
      </c>
      <c r="D60" s="74">
        <v>393</v>
      </c>
      <c r="E60" s="74" t="s">
        <v>5</v>
      </c>
      <c r="F60" s="169">
        <v>48</v>
      </c>
      <c r="G60" s="84">
        <v>1.9</v>
      </c>
      <c r="H60" s="84">
        <f>Tabela14[[#This Row],[VALOR UNITÁRIO]]*Tabela14[[#This Row],[QUANT.]]</f>
        <v>91.199999999999989</v>
      </c>
      <c r="I60" s="149">
        <f>Tabela14[[#This Row],[TOTAL]]/Tabela14[[#Totals],[TOTAL]]</f>
        <v>3.4168931877334946E-4</v>
      </c>
      <c r="J60" s="153">
        <f>J59+Tabela14[[#This Row],[PARTICIPAÇÃO INDIVIDUAL]]</f>
        <v>0.99941553142841422</v>
      </c>
      <c r="K60" s="188" t="str">
        <f t="shared" si="0"/>
        <v>C</v>
      </c>
      <c r="L60" s="32"/>
      <c r="M60" s="32"/>
    </row>
    <row r="61" spans="1:16" x14ac:dyDescent="0.25">
      <c r="A61" s="74" t="s">
        <v>124</v>
      </c>
      <c r="B61" s="71" t="s">
        <v>39</v>
      </c>
      <c r="C61" s="74" t="s">
        <v>77</v>
      </c>
      <c r="D61" s="74">
        <v>10260</v>
      </c>
      <c r="E61" s="74" t="s">
        <v>5</v>
      </c>
      <c r="F61" s="169">
        <v>100</v>
      </c>
      <c r="G61" s="84">
        <v>0.9</v>
      </c>
      <c r="H61" s="84">
        <f>Tabela14[[#This Row],[VALOR UNITÁRIO]]*Tabela14[[#This Row],[QUANT.]]</f>
        <v>90</v>
      </c>
      <c r="I61" s="149">
        <f>Tabela14[[#This Row],[TOTAL]]/Tabela14[[#Totals],[TOTAL]]</f>
        <v>3.3719340668422651E-4</v>
      </c>
      <c r="J61" s="153">
        <f>J60+Tabela14[[#This Row],[PARTICIPAÇÃO INDIVIDUAL]]</f>
        <v>0.99975272483509847</v>
      </c>
      <c r="K61" s="188" t="str">
        <f t="shared" si="0"/>
        <v>C</v>
      </c>
    </row>
    <row r="62" spans="1:16" x14ac:dyDescent="0.25">
      <c r="A62" s="74" t="s">
        <v>123</v>
      </c>
      <c r="B62" s="71" t="s">
        <v>38</v>
      </c>
      <c r="C62" s="74" t="s">
        <v>77</v>
      </c>
      <c r="D62" s="74">
        <v>9877</v>
      </c>
      <c r="E62" s="74" t="s">
        <v>5</v>
      </c>
      <c r="F62" s="169">
        <v>100</v>
      </c>
      <c r="G62" s="84">
        <v>0.36</v>
      </c>
      <c r="H62" s="84">
        <f>Tabela14[[#This Row],[VALOR UNITÁRIO]]*Tabela14[[#This Row],[QUANT.]]</f>
        <v>36</v>
      </c>
      <c r="I62" s="149">
        <f>Tabela14[[#This Row],[TOTAL]]/Tabela14[[#Totals],[TOTAL]]</f>
        <v>1.348773626736906E-4</v>
      </c>
      <c r="J62" s="153">
        <f>J61+Tabela14[[#This Row],[PARTICIPAÇÃO INDIVIDUAL]]</f>
        <v>0.99988760219777217</v>
      </c>
      <c r="K62" s="188" t="str">
        <f t="shared" si="0"/>
        <v>C</v>
      </c>
    </row>
    <row r="63" spans="1:16" x14ac:dyDescent="0.25">
      <c r="A63" s="75" t="s">
        <v>125</v>
      </c>
      <c r="B63" s="145" t="s">
        <v>40</v>
      </c>
      <c r="C63" s="75" t="s">
        <v>77</v>
      </c>
      <c r="D63" s="75">
        <v>12431</v>
      </c>
      <c r="E63" s="75" t="s">
        <v>5</v>
      </c>
      <c r="F63" s="146">
        <v>100</v>
      </c>
      <c r="G63" s="117">
        <v>0.3</v>
      </c>
      <c r="H63" s="117">
        <f>Tabela14[[#This Row],[VALOR UNITÁRIO]]*Tabela14[[#This Row],[QUANT.]]</f>
        <v>30</v>
      </c>
      <c r="I63" s="150">
        <f>Tabela14[[#This Row],[TOTAL]]/Tabela14[[#Totals],[TOTAL]]</f>
        <v>1.123978022280755E-4</v>
      </c>
      <c r="J63" s="154">
        <f>J62+Tabela14[[#This Row],[PARTICIPAÇÃO INDIVIDUAL]]</f>
        <v>1.0000000000000002</v>
      </c>
      <c r="K63" s="189" t="str">
        <f t="shared" si="0"/>
        <v>C</v>
      </c>
    </row>
    <row r="64" spans="1:16" x14ac:dyDescent="0.25">
      <c r="A64" s="163"/>
      <c r="B64" s="164" t="s">
        <v>60</v>
      </c>
      <c r="C64" s="165"/>
      <c r="D64" s="165"/>
      <c r="E64" s="165"/>
      <c r="F64" s="166"/>
      <c r="G64" s="165"/>
      <c r="H64" s="185">
        <f>SUBTOTAL(109,Tabela14[TOTAL])</f>
        <v>266909.1335</v>
      </c>
      <c r="I64" s="186"/>
      <c r="J64" s="151"/>
      <c r="K64" s="151"/>
      <c r="L64" s="151"/>
      <c r="M64" s="151"/>
      <c r="N64" s="151"/>
      <c r="O64" s="151"/>
      <c r="P64" s="143"/>
    </row>
    <row r="65" spans="1:16" x14ac:dyDescent="0.25">
      <c r="A65" s="138"/>
      <c r="B65" s="139" t="s">
        <v>78</v>
      </c>
      <c r="C65" s="140"/>
      <c r="D65" s="140"/>
      <c r="E65" s="140"/>
      <c r="F65" s="140"/>
      <c r="G65" s="140"/>
      <c r="H65" s="142">
        <f>Tabela14[[#Totals],[TOTAL]]*0.2579</f>
        <v>68835.865529650007</v>
      </c>
      <c r="I65" s="143"/>
      <c r="J65" s="143"/>
      <c r="K65" s="144"/>
      <c r="L65" s="143"/>
      <c r="M65" s="143"/>
      <c r="N65" s="143"/>
      <c r="O65" s="143"/>
      <c r="P65" s="143"/>
    </row>
    <row r="66" spans="1:16" x14ac:dyDescent="0.25">
      <c r="A66" s="138"/>
      <c r="B66" s="139" t="s">
        <v>0</v>
      </c>
      <c r="C66" s="140"/>
      <c r="D66" s="140"/>
      <c r="E66" s="140"/>
      <c r="F66" s="140"/>
      <c r="G66" s="140"/>
      <c r="H66" s="142">
        <f>Tabela14[[#Totals],[TOTAL]]+H65</f>
        <v>335744.99902965</v>
      </c>
    </row>
    <row r="70" spans="1:16" s="1" customFormat="1" x14ac:dyDescent="0.25">
      <c r="B70"/>
      <c r="F70" s="3"/>
      <c r="G70" s="2"/>
      <c r="H70" s="2"/>
      <c r="I70"/>
      <c r="J70"/>
      <c r="K70"/>
      <c r="L70"/>
      <c r="M70"/>
    </row>
    <row r="71" spans="1:16" s="1" customFormat="1" x14ac:dyDescent="0.25">
      <c r="B71"/>
      <c r="F71" s="3"/>
      <c r="G71" s="2"/>
      <c r="H71" s="2"/>
      <c r="I71"/>
      <c r="J71"/>
      <c r="K71"/>
      <c r="L71"/>
      <c r="M71"/>
    </row>
    <row r="72" spans="1:16" s="1" customFormat="1" x14ac:dyDescent="0.25">
      <c r="B72"/>
      <c r="F72" s="3"/>
      <c r="G72" s="2"/>
      <c r="H72" s="2"/>
      <c r="I72"/>
      <c r="J72"/>
      <c r="K72"/>
      <c r="L72"/>
      <c r="M72"/>
    </row>
    <row r="73" spans="1:16" s="1" customFormat="1" x14ac:dyDescent="0.25">
      <c r="B73"/>
      <c r="F73" s="3"/>
      <c r="G73" s="2"/>
      <c r="H73" s="2"/>
      <c r="I73"/>
      <c r="J73"/>
      <c r="K73"/>
      <c r="L73"/>
      <c r="M73"/>
    </row>
    <row r="74" spans="1:16" s="1" customFormat="1" x14ac:dyDescent="0.25">
      <c r="B74"/>
      <c r="F74" s="3"/>
      <c r="G74" s="2"/>
      <c r="H74" s="2"/>
      <c r="I74"/>
      <c r="J74"/>
      <c r="K74"/>
      <c r="L74"/>
      <c r="M74"/>
    </row>
  </sheetData>
  <mergeCells count="17">
    <mergeCell ref="A10:K10"/>
    <mergeCell ref="A9:H9"/>
    <mergeCell ref="A11:H11"/>
    <mergeCell ref="A13:H13"/>
    <mergeCell ref="A1:H1"/>
    <mergeCell ref="A2:K2"/>
    <mergeCell ref="A8:K8"/>
    <mergeCell ref="A7:K7"/>
    <mergeCell ref="A6:K6"/>
    <mergeCell ref="A5:K5"/>
    <mergeCell ref="A4:K4"/>
    <mergeCell ref="A3:K3"/>
    <mergeCell ref="A14:H14"/>
    <mergeCell ref="A15:H15"/>
    <mergeCell ref="A16:H17"/>
    <mergeCell ref="A18:H18"/>
    <mergeCell ref="A12:K12"/>
  </mergeCells>
  <phoneticPr fontId="8" type="noConversion"/>
  <conditionalFormatting sqref="K20:K63">
    <cfRule type="cellIs" dxfId="5" priority="1" operator="equal">
      <formula>"C"</formula>
    </cfRule>
    <cfRule type="cellIs" dxfId="4" priority="2" operator="equal">
      <formula>"B"</formula>
    </cfRule>
    <cfRule type="cellIs" dxfId="3" priority="3" operator="equal">
      <formula>"A"</formula>
    </cfRule>
  </conditionalFormatting>
  <printOptions horizontalCentered="1" verticalCentered="1"/>
  <pageMargins left="0.25" right="0.25" top="0.75" bottom="0.75" header="0.3" footer="0.3"/>
  <pageSetup paperSize="8" scale="54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C8CC59D-6688-417C-B279-EA89AC61422F}">
          <x14:formula1>
            <xm:f>'planilha suporte'!$B$2:$B$22</xm:f>
          </x14:formula1>
          <xm:sqref>E65:E1048576 E20:E63</xm:sqref>
        </x14:dataValidation>
        <x14:dataValidation type="list" allowBlank="1" showInputMessage="1" showErrorMessage="1" xr:uid="{E50F373E-BE8B-4A76-90B4-342407F471F2}">
          <x14:formula1>
            <xm:f>'planilha suporte'!$A$2:$A$5</xm:f>
          </x14:formula1>
          <xm:sqref>C65:C1048576 C20:C63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808D-B5D3-429D-9FEC-BF94EA9E53EA}">
  <dimension ref="A1:O66"/>
  <sheetViews>
    <sheetView showGridLines="0" topLeftCell="A59" zoomScaleNormal="100" zoomScaleSheetLayoutView="100" workbookViewId="0">
      <selection activeCell="O20" sqref="O20"/>
    </sheetView>
  </sheetViews>
  <sheetFormatPr defaultRowHeight="15" x14ac:dyDescent="0.25"/>
  <cols>
    <col min="1" max="1" width="9.140625" style="1"/>
    <col min="2" max="2" width="70.7109375" customWidth="1"/>
    <col min="3" max="5" width="15.7109375" style="1" customWidth="1"/>
    <col min="6" max="6" width="15.7109375" style="3" customWidth="1"/>
    <col min="7" max="8" width="15.7109375" style="2" customWidth="1"/>
    <col min="9" max="9" width="13.28515625" bestFit="1" customWidth="1"/>
    <col min="10" max="10" width="16.28515625" bestFit="1" customWidth="1"/>
    <col min="11" max="11" width="13.28515625" bestFit="1" customWidth="1"/>
    <col min="12" max="12" width="10.5703125" bestFit="1" customWidth="1"/>
    <col min="14" max="15" width="13.42578125" bestFit="1" customWidth="1"/>
  </cols>
  <sheetData>
    <row r="1" spans="1:8" ht="89.25" customHeight="1" x14ac:dyDescent="0.25">
      <c r="A1" s="218"/>
      <c r="B1" s="219"/>
      <c r="C1" s="219"/>
      <c r="D1" s="219"/>
      <c r="E1" s="219"/>
      <c r="F1" s="219"/>
      <c r="G1" s="219"/>
      <c r="H1" s="220"/>
    </row>
    <row r="2" spans="1:8" x14ac:dyDescent="0.25">
      <c r="A2" s="214" t="s">
        <v>86</v>
      </c>
      <c r="B2" s="215"/>
      <c r="C2" s="215"/>
      <c r="D2" s="215"/>
      <c r="E2" s="215"/>
      <c r="F2" s="215"/>
      <c r="G2" s="215"/>
      <c r="H2" s="216"/>
    </row>
    <row r="3" spans="1:8" x14ac:dyDescent="0.25">
      <c r="A3" s="214" t="s">
        <v>87</v>
      </c>
      <c r="B3" s="215"/>
      <c r="C3" s="215"/>
      <c r="D3" s="215"/>
      <c r="E3" s="215"/>
      <c r="F3" s="215"/>
      <c r="G3" s="215"/>
      <c r="H3" s="216"/>
    </row>
    <row r="4" spans="1:8" x14ac:dyDescent="0.25">
      <c r="A4" s="214" t="s">
        <v>88</v>
      </c>
      <c r="B4" s="215"/>
      <c r="C4" s="215"/>
      <c r="D4" s="215"/>
      <c r="E4" s="215"/>
      <c r="F4" s="215"/>
      <c r="G4" s="215"/>
      <c r="H4" s="216"/>
    </row>
    <row r="5" spans="1:8" x14ac:dyDescent="0.25">
      <c r="A5" s="214" t="s">
        <v>89</v>
      </c>
      <c r="B5" s="215"/>
      <c r="C5" s="215"/>
      <c r="D5" s="215"/>
      <c r="E5" s="215"/>
      <c r="F5" s="215"/>
      <c r="G5" s="215"/>
      <c r="H5" s="216"/>
    </row>
    <row r="6" spans="1:8" x14ac:dyDescent="0.25">
      <c r="A6" s="214" t="s">
        <v>90</v>
      </c>
      <c r="B6" s="215"/>
      <c r="C6" s="215"/>
      <c r="D6" s="215"/>
      <c r="E6" s="215"/>
      <c r="F6" s="215"/>
      <c r="G6" s="215"/>
      <c r="H6" s="216"/>
    </row>
    <row r="7" spans="1:8" x14ac:dyDescent="0.25">
      <c r="A7" s="214" t="s">
        <v>91</v>
      </c>
      <c r="B7" s="215"/>
      <c r="C7" s="215"/>
      <c r="D7" s="215"/>
      <c r="E7" s="215"/>
      <c r="F7" s="215"/>
      <c r="G7" s="215"/>
      <c r="H7" s="216"/>
    </row>
    <row r="8" spans="1:8" x14ac:dyDescent="0.25">
      <c r="A8" s="214" t="s">
        <v>92</v>
      </c>
      <c r="B8" s="215"/>
      <c r="C8" s="215"/>
      <c r="D8" s="215"/>
      <c r="E8" s="215"/>
      <c r="F8" s="215"/>
      <c r="G8" s="215"/>
      <c r="H8" s="216"/>
    </row>
    <row r="9" spans="1:8" x14ac:dyDescent="0.25">
      <c r="A9" s="214"/>
      <c r="B9" s="215"/>
      <c r="C9" s="215"/>
      <c r="D9" s="215"/>
      <c r="E9" s="215"/>
      <c r="F9" s="215"/>
      <c r="G9" s="215"/>
      <c r="H9" s="216"/>
    </row>
    <row r="10" spans="1:8" x14ac:dyDescent="0.25">
      <c r="A10" s="217" t="s">
        <v>98</v>
      </c>
      <c r="B10" s="215"/>
      <c r="C10" s="215"/>
      <c r="D10" s="215"/>
      <c r="E10" s="215"/>
      <c r="F10" s="215"/>
      <c r="G10" s="215"/>
      <c r="H10" s="216"/>
    </row>
    <row r="11" spans="1:8" x14ac:dyDescent="0.25">
      <c r="A11" s="214"/>
      <c r="B11" s="215"/>
      <c r="C11" s="215"/>
      <c r="D11" s="215"/>
      <c r="E11" s="215"/>
      <c r="F11" s="215"/>
      <c r="G11" s="215"/>
      <c r="H11" s="216"/>
    </row>
    <row r="12" spans="1:8" x14ac:dyDescent="0.25">
      <c r="A12" s="217" t="s">
        <v>175</v>
      </c>
      <c r="B12" s="215"/>
      <c r="C12" s="215"/>
      <c r="D12" s="215"/>
      <c r="E12" s="215"/>
      <c r="F12" s="215"/>
      <c r="G12" s="215"/>
      <c r="H12" s="216"/>
    </row>
    <row r="13" spans="1:8" x14ac:dyDescent="0.25">
      <c r="A13" s="214"/>
      <c r="B13" s="215"/>
      <c r="C13" s="215"/>
      <c r="D13" s="215"/>
      <c r="E13" s="215"/>
      <c r="F13" s="215"/>
      <c r="G13" s="215"/>
      <c r="H13" s="216"/>
    </row>
    <row r="14" spans="1:8" x14ac:dyDescent="0.25">
      <c r="A14" s="221" t="s">
        <v>93</v>
      </c>
      <c r="B14" s="222"/>
      <c r="C14" s="222"/>
      <c r="D14" s="222"/>
      <c r="E14" s="222"/>
      <c r="F14" s="222"/>
      <c r="G14" s="222"/>
      <c r="H14" s="223"/>
    </row>
    <row r="15" spans="1:8" x14ac:dyDescent="0.25">
      <c r="A15" s="214"/>
      <c r="B15" s="215"/>
      <c r="C15" s="215"/>
      <c r="D15" s="215"/>
      <c r="E15" s="215"/>
      <c r="F15" s="215"/>
      <c r="G15" s="215"/>
      <c r="H15" s="216"/>
    </row>
    <row r="16" spans="1:8" x14ac:dyDescent="0.25">
      <c r="A16" s="224" t="s">
        <v>94</v>
      </c>
      <c r="B16" s="225"/>
      <c r="C16" s="225"/>
      <c r="D16" s="225"/>
      <c r="E16" s="225"/>
      <c r="F16" s="225"/>
      <c r="G16" s="225"/>
      <c r="H16" s="226"/>
    </row>
    <row r="17" spans="1:15" x14ac:dyDescent="0.25">
      <c r="A17" s="224"/>
      <c r="B17" s="225"/>
      <c r="C17" s="225"/>
      <c r="D17" s="225"/>
      <c r="E17" s="225"/>
      <c r="F17" s="225"/>
      <c r="G17" s="225"/>
      <c r="H17" s="226"/>
    </row>
    <row r="18" spans="1:15" x14ac:dyDescent="0.25">
      <c r="A18" s="234"/>
      <c r="B18" s="235"/>
      <c r="C18" s="235"/>
      <c r="D18" s="235"/>
      <c r="E18" s="235"/>
      <c r="F18" s="235"/>
      <c r="G18" s="235"/>
      <c r="H18" s="238"/>
    </row>
    <row r="19" spans="1:15" ht="45.75" thickBot="1" x14ac:dyDescent="0.3">
      <c r="A19" s="44" t="s">
        <v>12</v>
      </c>
      <c r="B19" s="45" t="s">
        <v>13</v>
      </c>
      <c r="C19" s="44" t="s">
        <v>14</v>
      </c>
      <c r="D19" s="44" t="s">
        <v>22</v>
      </c>
      <c r="E19" s="44" t="s">
        <v>4</v>
      </c>
      <c r="F19" s="46" t="s">
        <v>15</v>
      </c>
      <c r="G19" s="47" t="s">
        <v>16</v>
      </c>
      <c r="H19" s="47" t="s">
        <v>17</v>
      </c>
      <c r="I19" s="48" t="s">
        <v>165</v>
      </c>
      <c r="J19" s="48" t="s">
        <v>166</v>
      </c>
      <c r="K19" s="48" t="s">
        <v>167</v>
      </c>
      <c r="L19" s="43" t="s">
        <v>168</v>
      </c>
      <c r="M19" s="43" t="s">
        <v>169</v>
      </c>
      <c r="N19" s="43" t="s">
        <v>170</v>
      </c>
      <c r="O19" s="43" t="s">
        <v>171</v>
      </c>
    </row>
    <row r="20" spans="1:15" ht="32.25" x14ac:dyDescent="0.25">
      <c r="A20" s="26" t="s">
        <v>112</v>
      </c>
      <c r="B20" s="31" t="s">
        <v>24</v>
      </c>
      <c r="C20" s="35" t="s">
        <v>2</v>
      </c>
      <c r="D20" s="35">
        <v>96973</v>
      </c>
      <c r="E20" s="35" t="s">
        <v>6</v>
      </c>
      <c r="F20" s="28">
        <v>1136</v>
      </c>
      <c r="G20" s="29">
        <v>51</v>
      </c>
      <c r="H20" s="30">
        <f>Tabela13[[#This Row],[VALOR UNI.]]*Tabela13[[#This Row],[QUANT.]]</f>
        <v>57936</v>
      </c>
      <c r="I20" s="49">
        <f>H20/Tabela13[[#Totals],[VALOR TOTAL]]</f>
        <v>0.22691765925974408</v>
      </c>
      <c r="J20" s="52">
        <f>I20</f>
        <v>0.22691765925974408</v>
      </c>
      <c r="K20" s="55" t="str">
        <f>IF(J20&lt;=$M$20,"A",IF(J20&lt;=$M$21,"B","C"))</f>
        <v>A</v>
      </c>
      <c r="L20" s="70" t="s">
        <v>172</v>
      </c>
      <c r="M20" s="69">
        <v>0.8</v>
      </c>
      <c r="N20" s="69">
        <f>COUNTIF($K$20:$K$63,L20)/COUNTA($K$20:$K$63)</f>
        <v>0.13636363636363635</v>
      </c>
      <c r="O20" s="69">
        <f>COUNTIF($K$20:$K$63,L20)/COUNTA($I$20:$I$63)</f>
        <v>0.13636363636363635</v>
      </c>
    </row>
    <row r="21" spans="1:15" x14ac:dyDescent="0.25">
      <c r="A21" s="26" t="s">
        <v>154</v>
      </c>
      <c r="B21" s="27" t="s">
        <v>97</v>
      </c>
      <c r="C21" s="35" t="s">
        <v>3</v>
      </c>
      <c r="D21" s="35"/>
      <c r="E21" s="35" t="s">
        <v>5</v>
      </c>
      <c r="F21" s="28">
        <v>1</v>
      </c>
      <c r="G21" s="29">
        <v>51146</v>
      </c>
      <c r="H21" s="30">
        <f>Tabela13[[#This Row],[VALOR UNI.]]*Tabela13[[#This Row],[QUANT.]]</f>
        <v>51146</v>
      </c>
      <c r="I21" s="50">
        <f>H21/Tabela13[[#Totals],[VALOR TOTAL]]</f>
        <v>0.20032329813067645</v>
      </c>
      <c r="J21" s="53">
        <f>I21+J20</f>
        <v>0.42724095739042056</v>
      </c>
      <c r="K21" s="56" t="str">
        <f t="shared" ref="K21:K63" si="0">IF(J21&lt;=$M$20,"A",IF(J21&lt;=$M$21,"B","C"))</f>
        <v>A</v>
      </c>
      <c r="L21" s="70" t="s">
        <v>173</v>
      </c>
      <c r="M21" s="69">
        <v>0.95</v>
      </c>
      <c r="N21" s="69">
        <f>COUNTIF($K$20:$K$63,L21)/COUNTA($K$20:$K$63)</f>
        <v>0.20454545454545456</v>
      </c>
      <c r="O21" s="69">
        <f>COUNTIF($K$20:$K$63,L21)/COUNTA($I$20:$I$63)</f>
        <v>0.20454545454545456</v>
      </c>
    </row>
    <row r="22" spans="1:15" x14ac:dyDescent="0.25">
      <c r="A22" s="26" t="s">
        <v>108</v>
      </c>
      <c r="B22" s="27" t="s">
        <v>20</v>
      </c>
      <c r="C22" s="35" t="s">
        <v>2</v>
      </c>
      <c r="D22" s="35">
        <v>91677</v>
      </c>
      <c r="E22" s="35" t="s">
        <v>21</v>
      </c>
      <c r="F22" s="28">
        <v>330</v>
      </c>
      <c r="G22" s="29">
        <v>110.31</v>
      </c>
      <c r="H22" s="30">
        <f>Tabela13[[#This Row],[VALOR UNI.]]*Tabela13[[#This Row],[QUANT.]]</f>
        <v>36402.300000000003</v>
      </c>
      <c r="I22" s="50">
        <f>H22/Tabela13[[#Totals],[VALOR TOTAL]]</f>
        <v>0.14257671754472145</v>
      </c>
      <c r="J22" s="53">
        <f t="shared" ref="J22:J63" si="1">I22+J21</f>
        <v>0.56981767493514202</v>
      </c>
      <c r="K22" s="56" t="str">
        <f t="shared" si="0"/>
        <v>A</v>
      </c>
      <c r="L22" s="70" t="s">
        <v>174</v>
      </c>
      <c r="M22" s="69">
        <v>1</v>
      </c>
      <c r="N22" s="69">
        <f>COUNTIF($K$20:$K$63,L22)/COUNTA($K$20:$K$63)</f>
        <v>0.65909090909090906</v>
      </c>
      <c r="O22" s="69">
        <f>COUNTIF($K$20:$K$63,L22)/COUNTA($I$20:$I$63)</f>
        <v>0.65909090909090906</v>
      </c>
    </row>
    <row r="23" spans="1:15" ht="32.25" x14ac:dyDescent="0.25">
      <c r="A23" s="26" t="s">
        <v>130</v>
      </c>
      <c r="B23" s="31" t="s">
        <v>25</v>
      </c>
      <c r="C23" s="35" t="s">
        <v>2</v>
      </c>
      <c r="D23" s="35">
        <v>96977</v>
      </c>
      <c r="E23" s="35" t="s">
        <v>6</v>
      </c>
      <c r="F23" s="28">
        <v>445</v>
      </c>
      <c r="G23" s="29">
        <v>44.66</v>
      </c>
      <c r="H23" s="30">
        <f>Tabela13[[#This Row],[VALOR UNI.]]*Tabela13[[#This Row],[QUANT.]]</f>
        <v>19873.699999999997</v>
      </c>
      <c r="I23" s="50">
        <f>H23/Tabela13[[#Totals],[VALOR TOTAL]]</f>
        <v>7.7839227506738051E-2</v>
      </c>
      <c r="J23" s="53">
        <f t="shared" si="1"/>
        <v>0.64765690244188012</v>
      </c>
      <c r="K23" s="56" t="str">
        <f t="shared" si="0"/>
        <v>A</v>
      </c>
      <c r="L23" s="34"/>
      <c r="M23" s="34"/>
      <c r="N23" s="34"/>
      <c r="O23" s="34"/>
    </row>
    <row r="24" spans="1:15" ht="17.25" x14ac:dyDescent="0.25">
      <c r="A24" s="26" t="s">
        <v>141</v>
      </c>
      <c r="B24" s="27" t="s">
        <v>35</v>
      </c>
      <c r="C24" s="35" t="s">
        <v>2</v>
      </c>
      <c r="D24" s="35">
        <v>92986</v>
      </c>
      <c r="E24" s="35" t="s">
        <v>6</v>
      </c>
      <c r="F24" s="28">
        <v>550</v>
      </c>
      <c r="G24" s="29">
        <v>36.08</v>
      </c>
      <c r="H24" s="30">
        <f>Tabela13[[#This Row],[VALOR UNI.]]*Tabela13[[#This Row],[QUANT.]]</f>
        <v>19844</v>
      </c>
      <c r="I24" s="50">
        <f>H24/Tabela13[[#Totals],[VALOR TOTAL]]</f>
        <v>7.7722901656144053E-2</v>
      </c>
      <c r="J24" s="53">
        <f t="shared" si="1"/>
        <v>0.72537980409802416</v>
      </c>
      <c r="K24" s="56" t="str">
        <f t="shared" si="0"/>
        <v>A</v>
      </c>
      <c r="L24" s="34"/>
      <c r="M24" s="34"/>
      <c r="N24" s="34"/>
      <c r="O24" s="34"/>
    </row>
    <row r="25" spans="1:15" ht="30" x14ac:dyDescent="0.25">
      <c r="A25" s="36" t="s">
        <v>152</v>
      </c>
      <c r="B25" s="41" t="s">
        <v>57</v>
      </c>
      <c r="C25" s="37" t="s">
        <v>2</v>
      </c>
      <c r="D25" s="37">
        <v>39469</v>
      </c>
      <c r="E25" s="37" t="s">
        <v>5</v>
      </c>
      <c r="F25" s="38">
        <v>252</v>
      </c>
      <c r="G25" s="39">
        <v>73.739999999999995</v>
      </c>
      <c r="H25" s="40">
        <f>Tabela13[[#This Row],[VALOR UNI.]]*Tabela13[[#This Row],[QUANT.]]</f>
        <v>18582.48</v>
      </c>
      <c r="I25" s="50">
        <f>H25/Tabela13[[#Totals],[VALOR TOTAL]]</f>
        <v>7.278191219347227E-2</v>
      </c>
      <c r="J25" s="53">
        <f t="shared" si="1"/>
        <v>0.79816171629149646</v>
      </c>
      <c r="K25" s="56" t="str">
        <f t="shared" si="0"/>
        <v>A</v>
      </c>
      <c r="L25" s="34"/>
      <c r="M25" s="34"/>
      <c r="N25" s="34"/>
      <c r="O25" s="34"/>
    </row>
    <row r="26" spans="1:15" x14ac:dyDescent="0.25">
      <c r="A26" s="26" t="s">
        <v>109</v>
      </c>
      <c r="B26" s="27" t="s">
        <v>23</v>
      </c>
      <c r="C26" s="35" t="s">
        <v>2</v>
      </c>
      <c r="D26" s="35">
        <v>93572</v>
      </c>
      <c r="E26" s="35" t="s">
        <v>9</v>
      </c>
      <c r="F26" s="28">
        <v>3</v>
      </c>
      <c r="G26" s="29">
        <v>3349.71</v>
      </c>
      <c r="H26" s="30">
        <f>Tabela13[[#This Row],[VALOR UNI.]]*Tabela13[[#This Row],[QUANT.]]</f>
        <v>10049.130000000001</v>
      </c>
      <c r="I26" s="50">
        <f>H26/Tabela13[[#Totals],[VALOR TOTAL]]</f>
        <v>3.9359380302348666E-2</v>
      </c>
      <c r="J26" s="53">
        <f t="shared" si="1"/>
        <v>0.8375210965938451</v>
      </c>
      <c r="K26" s="56" t="str">
        <f t="shared" si="0"/>
        <v>B</v>
      </c>
      <c r="L26" s="34"/>
      <c r="M26" s="34"/>
      <c r="N26" s="34"/>
      <c r="O26" s="34"/>
    </row>
    <row r="27" spans="1:15" ht="17.25" x14ac:dyDescent="0.25">
      <c r="A27" s="26" t="s">
        <v>135</v>
      </c>
      <c r="B27" s="27" t="s">
        <v>58</v>
      </c>
      <c r="C27" s="35" t="s">
        <v>2</v>
      </c>
      <c r="D27" s="35">
        <v>93358</v>
      </c>
      <c r="E27" s="35" t="s">
        <v>10</v>
      </c>
      <c r="F27" s="28">
        <v>111.25</v>
      </c>
      <c r="G27" s="29">
        <v>67.92</v>
      </c>
      <c r="H27" s="30">
        <f>Tabela13[[#This Row],[VALOR UNI.]]*Tabela13[[#This Row],[QUANT.]]</f>
        <v>7556.1</v>
      </c>
      <c r="I27" s="50">
        <f>H27/Tabela13[[#Totals],[VALOR TOTAL]]</f>
        <v>2.9594941403144028E-2</v>
      </c>
      <c r="J27" s="53">
        <f t="shared" si="1"/>
        <v>0.86711603799698911</v>
      </c>
      <c r="K27" s="56" t="str">
        <f t="shared" si="0"/>
        <v>B</v>
      </c>
      <c r="L27" s="34"/>
      <c r="M27" s="34"/>
      <c r="N27" s="34"/>
      <c r="O27" s="34"/>
    </row>
    <row r="28" spans="1:15" ht="45" x14ac:dyDescent="0.25">
      <c r="A28" s="36" t="s">
        <v>150</v>
      </c>
      <c r="B28" s="41" t="s">
        <v>72</v>
      </c>
      <c r="C28" s="37" t="s">
        <v>2</v>
      </c>
      <c r="D28" s="37">
        <v>94995</v>
      </c>
      <c r="E28" s="42" t="s">
        <v>75</v>
      </c>
      <c r="F28" s="38">
        <v>80</v>
      </c>
      <c r="G28" s="39">
        <v>88.52</v>
      </c>
      <c r="H28" s="40">
        <f>Tabela13[[#This Row],[VALOR UNI.]]*Tabela13[[#This Row],[QUANT.]]</f>
        <v>7081.5999999999995</v>
      </c>
      <c r="I28" s="50">
        <f>H28/Tabela13[[#Totals],[VALOR TOTAL]]</f>
        <v>2.7736469480354246E-2</v>
      </c>
      <c r="J28" s="53">
        <f t="shared" si="1"/>
        <v>0.89485250747734335</v>
      </c>
      <c r="K28" s="56" t="str">
        <f t="shared" si="0"/>
        <v>B</v>
      </c>
      <c r="L28" s="34"/>
      <c r="M28" s="34"/>
      <c r="N28" s="34"/>
      <c r="O28" s="34"/>
    </row>
    <row r="29" spans="1:15" ht="17.25" x14ac:dyDescent="0.25">
      <c r="A29" s="26" t="s">
        <v>142</v>
      </c>
      <c r="B29" s="27" t="s">
        <v>36</v>
      </c>
      <c r="C29" s="35" t="s">
        <v>2</v>
      </c>
      <c r="D29" s="35">
        <v>91928</v>
      </c>
      <c r="E29" s="35" t="s">
        <v>6</v>
      </c>
      <c r="F29" s="28">
        <v>600</v>
      </c>
      <c r="G29" s="29">
        <v>6.29</v>
      </c>
      <c r="H29" s="30">
        <f>Tabela13[[#This Row],[VALOR UNI.]]*Tabela13[[#This Row],[QUANT.]]</f>
        <v>3774</v>
      </c>
      <c r="I29" s="50">
        <f>H29/Tabela13[[#Totals],[VALOR TOTAL]]</f>
        <v>1.4781608085581922E-2</v>
      </c>
      <c r="J29" s="53">
        <f t="shared" si="1"/>
        <v>0.90963411556292528</v>
      </c>
      <c r="K29" s="56" t="str">
        <f t="shared" si="0"/>
        <v>B</v>
      </c>
      <c r="L29" s="34"/>
      <c r="M29" s="34"/>
      <c r="N29" s="34"/>
      <c r="O29" s="34"/>
    </row>
    <row r="30" spans="1:15" x14ac:dyDescent="0.25">
      <c r="A30" s="26" t="s">
        <v>132</v>
      </c>
      <c r="B30" s="27" t="s">
        <v>30</v>
      </c>
      <c r="C30" s="35" t="s">
        <v>77</v>
      </c>
      <c r="D30" s="35">
        <v>5662</v>
      </c>
      <c r="E30" s="35" t="s">
        <v>5</v>
      </c>
      <c r="F30" s="28">
        <v>24</v>
      </c>
      <c r="G30" s="29">
        <v>117.42</v>
      </c>
      <c r="H30" s="30">
        <f>Tabela13[[#This Row],[VALOR UNI.]]*Tabela13[[#This Row],[QUANT.]]</f>
        <v>2818.08</v>
      </c>
      <c r="I30" s="50">
        <f>H30/Tabela13[[#Totals],[VALOR TOTAL]]</f>
        <v>1.1037560708483492E-2</v>
      </c>
      <c r="J30" s="53">
        <f t="shared" si="1"/>
        <v>0.92067167627140878</v>
      </c>
      <c r="K30" s="56" t="str">
        <f t="shared" si="0"/>
        <v>B</v>
      </c>
      <c r="L30" s="34"/>
      <c r="M30" s="34"/>
      <c r="N30" s="34"/>
      <c r="O30" s="34"/>
    </row>
    <row r="31" spans="1:15" x14ac:dyDescent="0.25">
      <c r="A31" s="26" t="s">
        <v>157</v>
      </c>
      <c r="B31" s="27" t="s">
        <v>47</v>
      </c>
      <c r="C31" s="35" t="s">
        <v>77</v>
      </c>
      <c r="D31" s="35">
        <v>9207</v>
      </c>
      <c r="E31" s="35" t="s">
        <v>5</v>
      </c>
      <c r="F31" s="28">
        <v>4</v>
      </c>
      <c r="G31" s="29">
        <v>514.36</v>
      </c>
      <c r="H31" s="30">
        <f>Tabela13[[#This Row],[VALOR UNI.]]*Tabela13[[#This Row],[QUANT.]]</f>
        <v>2057.44</v>
      </c>
      <c r="I31" s="50">
        <f>H31/Tabela13[[#Totals],[VALOR TOTAL]]</f>
        <v>8.0583655907789271E-3</v>
      </c>
      <c r="J31" s="53">
        <f t="shared" si="1"/>
        <v>0.92873004186218766</v>
      </c>
      <c r="K31" s="56" t="str">
        <f t="shared" si="0"/>
        <v>B</v>
      </c>
      <c r="L31" s="34"/>
      <c r="M31" s="34"/>
      <c r="N31" s="34"/>
      <c r="O31" s="34"/>
    </row>
    <row r="32" spans="1:15" ht="17.25" x14ac:dyDescent="0.25">
      <c r="A32" s="26" t="s">
        <v>145</v>
      </c>
      <c r="B32" s="27" t="s">
        <v>37</v>
      </c>
      <c r="C32" s="35" t="s">
        <v>2</v>
      </c>
      <c r="D32" s="35">
        <v>1535</v>
      </c>
      <c r="E32" s="35" t="s">
        <v>5</v>
      </c>
      <c r="F32" s="28">
        <v>400</v>
      </c>
      <c r="G32" s="29">
        <v>4.55</v>
      </c>
      <c r="H32" s="30">
        <f>Tabela13[[#This Row],[VALOR UNI.]]*Tabela13[[#This Row],[QUANT.]]</f>
        <v>1820</v>
      </c>
      <c r="I32" s="50">
        <f>H32/Tabela13[[#Totals],[VALOR TOTAL]]</f>
        <v>7.1283854572758605E-3</v>
      </c>
      <c r="J32" s="53">
        <f t="shared" si="1"/>
        <v>0.93585842731946356</v>
      </c>
      <c r="K32" s="56" t="str">
        <f t="shared" si="0"/>
        <v>B</v>
      </c>
      <c r="L32" s="34"/>
      <c r="M32" s="34"/>
      <c r="N32" s="34"/>
      <c r="O32" s="34"/>
    </row>
    <row r="33" spans="1:15" x14ac:dyDescent="0.25">
      <c r="A33" s="26" t="s">
        <v>106</v>
      </c>
      <c r="B33" s="27" t="s">
        <v>19</v>
      </c>
      <c r="C33" s="35" t="s">
        <v>2</v>
      </c>
      <c r="D33" s="35">
        <v>41805</v>
      </c>
      <c r="E33" s="35" t="s">
        <v>9</v>
      </c>
      <c r="F33" s="28">
        <v>3</v>
      </c>
      <c r="G33" s="29">
        <v>530</v>
      </c>
      <c r="H33" s="30">
        <f>Tabela13[[#This Row],[VALOR UNI.]]*Tabela13[[#This Row],[QUANT.]]</f>
        <v>1590</v>
      </c>
      <c r="I33" s="50">
        <f>H33/Tabela13[[#Totals],[VALOR TOTAL]]</f>
        <v>6.2275455368508885E-3</v>
      </c>
      <c r="J33" s="53">
        <f t="shared" si="1"/>
        <v>0.94208597285631446</v>
      </c>
      <c r="K33" s="56" t="str">
        <f t="shared" si="0"/>
        <v>B</v>
      </c>
      <c r="L33" s="66"/>
      <c r="M33" s="67"/>
      <c r="N33" s="68"/>
      <c r="O33" s="68"/>
    </row>
    <row r="34" spans="1:15" x14ac:dyDescent="0.25">
      <c r="A34" s="26" t="s">
        <v>122</v>
      </c>
      <c r="B34" s="27" t="s">
        <v>29</v>
      </c>
      <c r="C34" s="35" t="s">
        <v>77</v>
      </c>
      <c r="D34" s="35">
        <v>11095</v>
      </c>
      <c r="E34" s="35" t="s">
        <v>6</v>
      </c>
      <c r="F34" s="28">
        <v>96</v>
      </c>
      <c r="G34" s="29">
        <v>14.53</v>
      </c>
      <c r="H34" s="30">
        <f>Tabela13[[#This Row],[VALOR UNI.]]*Tabela13[[#This Row],[QUANT.]]</f>
        <v>1394.8799999999999</v>
      </c>
      <c r="I34" s="50">
        <f>H34/Tabela13[[#Totals],[VALOR TOTAL]]</f>
        <v>5.4633199487060169E-3</v>
      </c>
      <c r="J34" s="53">
        <f t="shared" si="1"/>
        <v>0.94754929280502043</v>
      </c>
      <c r="K34" s="56" t="str">
        <f t="shared" si="0"/>
        <v>B</v>
      </c>
      <c r="L34" s="34"/>
      <c r="M34" s="34"/>
      <c r="N34" s="34"/>
      <c r="O34" s="34"/>
    </row>
    <row r="35" spans="1:15" ht="17.25" x14ac:dyDescent="0.25">
      <c r="A35" s="26" t="s">
        <v>116</v>
      </c>
      <c r="B35" s="27" t="s">
        <v>26</v>
      </c>
      <c r="C35" s="35" t="s">
        <v>77</v>
      </c>
      <c r="D35" s="35">
        <v>9718</v>
      </c>
      <c r="E35" s="35" t="s">
        <v>5</v>
      </c>
      <c r="F35" s="28">
        <v>1000</v>
      </c>
      <c r="G35" s="29">
        <v>1.36</v>
      </c>
      <c r="H35" s="30">
        <f>Tabela13[[#This Row],[VALOR UNI.]]*Tabela13[[#This Row],[QUANT.]]</f>
        <v>1360</v>
      </c>
      <c r="I35" s="50">
        <f>H35/Tabela13[[#Totals],[VALOR TOTAL]]</f>
        <v>5.3267056164259174E-3</v>
      </c>
      <c r="J35" s="53">
        <f t="shared" si="1"/>
        <v>0.95287599842144632</v>
      </c>
      <c r="K35" s="56" t="str">
        <f t="shared" si="0"/>
        <v>C</v>
      </c>
      <c r="L35" s="34"/>
      <c r="M35" s="34"/>
      <c r="N35" s="34"/>
      <c r="O35" s="34"/>
    </row>
    <row r="36" spans="1:15" x14ac:dyDescent="0.25">
      <c r="A36" s="26" t="s">
        <v>153</v>
      </c>
      <c r="B36" s="27" t="s">
        <v>59</v>
      </c>
      <c r="C36" s="35" t="s">
        <v>77</v>
      </c>
      <c r="D36" s="35">
        <v>13267</v>
      </c>
      <c r="E36" s="35" t="s">
        <v>5</v>
      </c>
      <c r="F36" s="28">
        <v>1</v>
      </c>
      <c r="G36" s="29">
        <v>1300</v>
      </c>
      <c r="H36" s="30">
        <f>Tabela13[[#This Row],[VALOR UNI.]]*Tabela13[[#This Row],[QUANT.]]</f>
        <v>1300</v>
      </c>
      <c r="I36" s="50">
        <f>H36/Tabela13[[#Totals],[VALOR TOTAL]]</f>
        <v>5.0917038980541861E-3</v>
      </c>
      <c r="J36" s="53">
        <f t="shared" si="1"/>
        <v>0.95796770231950046</v>
      </c>
      <c r="K36" s="56" t="str">
        <f t="shared" si="0"/>
        <v>C</v>
      </c>
      <c r="L36" s="34"/>
      <c r="M36" s="34"/>
      <c r="N36" s="34"/>
      <c r="O36" s="34"/>
    </row>
    <row r="37" spans="1:15" ht="30" x14ac:dyDescent="0.25">
      <c r="A37" s="26" t="s">
        <v>107</v>
      </c>
      <c r="B37" s="31" t="s">
        <v>76</v>
      </c>
      <c r="C37" s="35" t="s">
        <v>2</v>
      </c>
      <c r="D37" s="35">
        <v>10776</v>
      </c>
      <c r="E37" s="35" t="s">
        <v>9</v>
      </c>
      <c r="F37" s="28">
        <v>3</v>
      </c>
      <c r="G37" s="29">
        <v>425.78</v>
      </c>
      <c r="H37" s="30">
        <f>Tabela13[[#This Row],[VALOR UNI.]]*Tabela13[[#This Row],[QUANT.]]</f>
        <v>1277.3399999999999</v>
      </c>
      <c r="I37" s="50">
        <f>H37/Tabela13[[#Totals],[VALOR TOTAL]]</f>
        <v>5.0029515824157947E-3</v>
      </c>
      <c r="J37" s="53">
        <f t="shared" si="1"/>
        <v>0.96297065390191627</v>
      </c>
      <c r="K37" s="56" t="str">
        <f t="shared" si="0"/>
        <v>C</v>
      </c>
      <c r="L37" s="66"/>
      <c r="M37" s="67"/>
      <c r="N37" s="68"/>
      <c r="O37" s="68"/>
    </row>
    <row r="38" spans="1:15" ht="30" x14ac:dyDescent="0.25">
      <c r="A38" s="26" t="s">
        <v>143</v>
      </c>
      <c r="B38" s="31" t="s">
        <v>27</v>
      </c>
      <c r="C38" s="35" t="s">
        <v>2</v>
      </c>
      <c r="D38" s="35">
        <v>7583</v>
      </c>
      <c r="E38" s="35" t="s">
        <v>5</v>
      </c>
      <c r="F38" s="28">
        <v>1500</v>
      </c>
      <c r="G38" s="29">
        <v>0.67</v>
      </c>
      <c r="H38" s="30">
        <f>Tabela13[[#This Row],[VALOR UNI.]]*Tabela13[[#This Row],[QUANT.]]</f>
        <v>1005.0000000000001</v>
      </c>
      <c r="I38" s="50">
        <f>H38/Tabela13[[#Totals],[VALOR TOTAL]]</f>
        <v>3.9362787827265057E-3</v>
      </c>
      <c r="J38" s="53">
        <f t="shared" si="1"/>
        <v>0.96690693268464278</v>
      </c>
      <c r="K38" s="56" t="str">
        <f t="shared" si="0"/>
        <v>C</v>
      </c>
      <c r="L38" s="34"/>
      <c r="M38" s="34"/>
      <c r="N38" s="34"/>
      <c r="O38" s="34"/>
    </row>
    <row r="39" spans="1:15" x14ac:dyDescent="0.25">
      <c r="A39" s="26" t="s">
        <v>144</v>
      </c>
      <c r="B39" s="27" t="s">
        <v>33</v>
      </c>
      <c r="C39" s="35" t="s">
        <v>77</v>
      </c>
      <c r="D39" s="35">
        <v>10681</v>
      </c>
      <c r="E39" s="35" t="s">
        <v>5</v>
      </c>
      <c r="F39" s="28">
        <v>42</v>
      </c>
      <c r="G39" s="29">
        <v>21.89</v>
      </c>
      <c r="H39" s="30">
        <f>Tabela13[[#This Row],[VALOR UNI.]]*Tabela13[[#This Row],[QUANT.]]</f>
        <v>919.38</v>
      </c>
      <c r="I39" s="50">
        <f>H39/Tabela13[[#Totals],[VALOR TOTAL]]</f>
        <v>3.600931330610044E-3</v>
      </c>
      <c r="J39" s="53">
        <f t="shared" si="1"/>
        <v>0.9705078640152528</v>
      </c>
      <c r="K39" s="56" t="str">
        <f t="shared" si="0"/>
        <v>C</v>
      </c>
      <c r="L39" s="34"/>
      <c r="M39" s="34"/>
      <c r="N39" s="34"/>
      <c r="O39" s="34"/>
    </row>
    <row r="40" spans="1:15" x14ac:dyDescent="0.25">
      <c r="A40" s="26" t="s">
        <v>160</v>
      </c>
      <c r="B40" s="27" t="s">
        <v>52</v>
      </c>
      <c r="C40" s="35" t="s">
        <v>3</v>
      </c>
      <c r="D40" s="35"/>
      <c r="E40" s="35" t="s">
        <v>5</v>
      </c>
      <c r="F40" s="28">
        <v>4</v>
      </c>
      <c r="G40" s="29">
        <v>177.15</v>
      </c>
      <c r="H40" s="30">
        <f>Tabela13[[#This Row],[VALOR UNI.]]*Tabela13[[#This Row],[QUANT.]]</f>
        <v>708.6</v>
      </c>
      <c r="I40" s="50">
        <f>H40/Tabela13[[#Totals],[VALOR TOTAL]]</f>
        <v>2.7753702939701508E-3</v>
      </c>
      <c r="J40" s="53">
        <f t="shared" si="1"/>
        <v>0.97328323430922292</v>
      </c>
      <c r="K40" s="56" t="str">
        <f t="shared" si="0"/>
        <v>C</v>
      </c>
      <c r="L40" s="34"/>
      <c r="M40" s="34"/>
      <c r="N40" s="34"/>
      <c r="O40" s="34"/>
    </row>
    <row r="41" spans="1:15" x14ac:dyDescent="0.25">
      <c r="A41" s="26" t="s">
        <v>134</v>
      </c>
      <c r="B41" s="27" t="s">
        <v>41</v>
      </c>
      <c r="C41" s="35" t="s">
        <v>2</v>
      </c>
      <c r="D41" s="35">
        <v>98111</v>
      </c>
      <c r="E41" s="35" t="s">
        <v>5</v>
      </c>
      <c r="F41" s="28">
        <v>24</v>
      </c>
      <c r="G41" s="29">
        <v>27.97</v>
      </c>
      <c r="H41" s="30">
        <f>Tabela13[[#This Row],[VALOR UNI.]]*Tabela13[[#This Row],[QUANT.]]</f>
        <v>671.28</v>
      </c>
      <c r="I41" s="50">
        <f>H41/Tabela13[[#Totals],[VALOR TOTAL]]</f>
        <v>2.6291992251429338E-3</v>
      </c>
      <c r="J41" s="53">
        <f t="shared" si="1"/>
        <v>0.97591243353436585</v>
      </c>
      <c r="K41" s="56" t="str">
        <f t="shared" si="0"/>
        <v>C</v>
      </c>
      <c r="L41" s="34"/>
      <c r="M41" s="34"/>
      <c r="N41" s="34"/>
      <c r="O41" s="34"/>
    </row>
    <row r="42" spans="1:15" ht="30" x14ac:dyDescent="0.25">
      <c r="A42" s="26" t="s">
        <v>136</v>
      </c>
      <c r="B42" s="31" t="s">
        <v>70</v>
      </c>
      <c r="C42" s="35" t="s">
        <v>2</v>
      </c>
      <c r="D42" s="35">
        <v>97629</v>
      </c>
      <c r="E42" s="35" t="s">
        <v>71</v>
      </c>
      <c r="F42" s="28">
        <f>80*0.08</f>
        <v>6.4</v>
      </c>
      <c r="G42" s="29">
        <v>103.13</v>
      </c>
      <c r="H42" s="30">
        <f>Tabela13[[#This Row],[VALOR UNI.]]*Tabela13[[#This Row],[QUANT.]]</f>
        <v>660.03200000000004</v>
      </c>
      <c r="I42" s="50">
        <f>H42/Tabela13[[#Totals],[VALOR TOTAL]]</f>
        <v>2.5851442363388467E-3</v>
      </c>
      <c r="J42" s="53">
        <f t="shared" si="1"/>
        <v>0.97849757777070467</v>
      </c>
      <c r="K42" s="56" t="str">
        <f t="shared" si="0"/>
        <v>C</v>
      </c>
      <c r="L42" s="34"/>
      <c r="M42" s="34"/>
      <c r="N42" s="34"/>
      <c r="O42" s="34"/>
    </row>
    <row r="43" spans="1:15" ht="30" x14ac:dyDescent="0.25">
      <c r="A43" s="26" t="s">
        <v>131</v>
      </c>
      <c r="B43" s="31" t="s">
        <v>31</v>
      </c>
      <c r="C43" s="35" t="s">
        <v>2</v>
      </c>
      <c r="D43" s="35">
        <v>98111</v>
      </c>
      <c r="E43" s="35" t="s">
        <v>5</v>
      </c>
      <c r="F43" s="28">
        <v>24</v>
      </c>
      <c r="G43" s="29">
        <v>27.19</v>
      </c>
      <c r="H43" s="30">
        <f>Tabela13[[#This Row],[VALOR UNI.]]*Tabela13[[#This Row],[QUANT.]]</f>
        <v>652.56000000000006</v>
      </c>
      <c r="I43" s="50">
        <f>H43/Tabela13[[#Totals],[VALOR TOTAL]]</f>
        <v>2.5558786890109539E-3</v>
      </c>
      <c r="J43" s="53">
        <f t="shared" si="1"/>
        <v>0.98105345645971564</v>
      </c>
      <c r="K43" s="56" t="str">
        <f t="shared" si="0"/>
        <v>C</v>
      </c>
      <c r="L43" s="34"/>
      <c r="M43" s="34"/>
      <c r="N43" s="34"/>
      <c r="O43" s="34"/>
    </row>
    <row r="44" spans="1:15" x14ac:dyDescent="0.25">
      <c r="A44" s="26" t="s">
        <v>158</v>
      </c>
      <c r="B44" s="27" t="s">
        <v>48</v>
      </c>
      <c r="C44" s="35" t="s">
        <v>2</v>
      </c>
      <c r="D44" s="35">
        <v>96988</v>
      </c>
      <c r="E44" s="35" t="s">
        <v>5</v>
      </c>
      <c r="F44" s="28">
        <v>4</v>
      </c>
      <c r="G44" s="29">
        <v>150.5</v>
      </c>
      <c r="H44" s="30">
        <f>Tabela13[[#This Row],[VALOR UNI.]]*Tabela13[[#This Row],[QUANT.]]</f>
        <v>602</v>
      </c>
      <c r="I44" s="50">
        <f>H44/Tabela13[[#Totals],[VALOR TOTAL]]</f>
        <v>2.3578505743297078E-3</v>
      </c>
      <c r="J44" s="53">
        <f t="shared" si="1"/>
        <v>0.98341130703404533</v>
      </c>
      <c r="K44" s="56" t="str">
        <f t="shared" si="0"/>
        <v>C</v>
      </c>
      <c r="L44" s="34"/>
      <c r="M44" s="34"/>
      <c r="N44" s="34"/>
      <c r="O44" s="34"/>
    </row>
    <row r="45" spans="1:15" x14ac:dyDescent="0.25">
      <c r="A45" s="26" t="s">
        <v>138</v>
      </c>
      <c r="B45" s="27" t="s">
        <v>54</v>
      </c>
      <c r="C45" s="35" t="s">
        <v>77</v>
      </c>
      <c r="D45" s="35">
        <v>9690</v>
      </c>
      <c r="E45" s="35" t="s">
        <v>5</v>
      </c>
      <c r="F45" s="28">
        <v>30</v>
      </c>
      <c r="G45" s="29">
        <v>20</v>
      </c>
      <c r="H45" s="30">
        <f>Tabela13[[#This Row],[VALOR UNI.]]*Tabela13[[#This Row],[QUANT.]]</f>
        <v>600</v>
      </c>
      <c r="I45" s="50">
        <f>H45/Tabela13[[#Totals],[VALOR TOTAL]]</f>
        <v>2.3500171837173164E-3</v>
      </c>
      <c r="J45" s="53">
        <f t="shared" si="1"/>
        <v>0.98576132421776264</v>
      </c>
      <c r="K45" s="56" t="str">
        <f t="shared" si="0"/>
        <v>C</v>
      </c>
      <c r="L45" s="34"/>
      <c r="M45" s="34"/>
      <c r="N45" s="34"/>
      <c r="O45" s="34"/>
    </row>
    <row r="46" spans="1:15" x14ac:dyDescent="0.25">
      <c r="A46" s="26" t="s">
        <v>126</v>
      </c>
      <c r="B46" s="34" t="s">
        <v>42</v>
      </c>
      <c r="C46" s="35" t="s">
        <v>77</v>
      </c>
      <c r="D46" s="35">
        <v>9329</v>
      </c>
      <c r="E46" s="35" t="s">
        <v>5</v>
      </c>
      <c r="F46" s="28">
        <v>24</v>
      </c>
      <c r="G46" s="29">
        <v>20</v>
      </c>
      <c r="H46" s="30">
        <f>Tabela13[[#This Row],[VALOR UNI.]]*Tabela13[[#This Row],[QUANT.]]</f>
        <v>480</v>
      </c>
      <c r="I46" s="50">
        <f>H46/Tabela13[[#Totals],[VALOR TOTAL]]</f>
        <v>1.8800137469738533E-3</v>
      </c>
      <c r="J46" s="53">
        <f t="shared" si="1"/>
        <v>0.98764133796473652</v>
      </c>
      <c r="K46" s="56" t="str">
        <f t="shared" si="0"/>
        <v>C</v>
      </c>
      <c r="L46" s="34"/>
      <c r="M46" s="34"/>
      <c r="N46" s="34"/>
      <c r="O46" s="34"/>
    </row>
    <row r="47" spans="1:15" x14ac:dyDescent="0.25">
      <c r="A47" s="26" t="s">
        <v>159</v>
      </c>
      <c r="B47" s="27" t="s">
        <v>49</v>
      </c>
      <c r="C47" s="35" t="s">
        <v>2</v>
      </c>
      <c r="D47" s="35">
        <v>96987</v>
      </c>
      <c r="E47" s="35" t="s">
        <v>5</v>
      </c>
      <c r="F47" s="28">
        <v>4</v>
      </c>
      <c r="G47" s="29">
        <v>110.04</v>
      </c>
      <c r="H47" s="30">
        <f>Tabela13[[#This Row],[VALOR UNI.]]*Tabela13[[#This Row],[QUANT.]]</f>
        <v>440.16</v>
      </c>
      <c r="I47" s="50">
        <f>H47/Tabela13[[#Totals],[VALOR TOTAL]]</f>
        <v>1.7239726059750235E-3</v>
      </c>
      <c r="J47" s="53">
        <f t="shared" si="1"/>
        <v>0.98936531057071153</v>
      </c>
      <c r="K47" s="56" t="str">
        <f t="shared" si="0"/>
        <v>C</v>
      </c>
      <c r="L47" s="34"/>
      <c r="M47" s="34"/>
      <c r="N47" s="34"/>
      <c r="O47" s="34"/>
    </row>
    <row r="48" spans="1:15" x14ac:dyDescent="0.25">
      <c r="A48" s="26" t="s">
        <v>156</v>
      </c>
      <c r="B48" s="27" t="s">
        <v>46</v>
      </c>
      <c r="C48" s="35" t="s">
        <v>2</v>
      </c>
      <c r="D48" s="35">
        <v>96989</v>
      </c>
      <c r="E48" s="35" t="s">
        <v>5</v>
      </c>
      <c r="F48" s="28">
        <v>4</v>
      </c>
      <c r="G48" s="29">
        <v>99.21</v>
      </c>
      <c r="H48" s="30">
        <f>Tabela13[[#This Row],[VALOR UNI.]]*Tabela13[[#This Row],[QUANT.]]</f>
        <v>396.84</v>
      </c>
      <c r="I48" s="50">
        <f>H48/Tabela13[[#Totals],[VALOR TOTAL]]</f>
        <v>1.554301365310633E-3</v>
      </c>
      <c r="J48" s="53">
        <f t="shared" si="1"/>
        <v>0.99091961193602218</v>
      </c>
      <c r="K48" s="56" t="str">
        <f t="shared" si="0"/>
        <v>C</v>
      </c>
      <c r="L48" s="34"/>
      <c r="M48" s="34"/>
      <c r="N48" s="34"/>
      <c r="O48" s="34"/>
    </row>
    <row r="49" spans="1:15" x14ac:dyDescent="0.25">
      <c r="A49" s="26" t="s">
        <v>148</v>
      </c>
      <c r="B49" s="27" t="s">
        <v>45</v>
      </c>
      <c r="C49" s="35" t="s">
        <v>77</v>
      </c>
      <c r="D49" s="35">
        <v>10418</v>
      </c>
      <c r="E49" s="35" t="s">
        <v>5</v>
      </c>
      <c r="F49" s="28">
        <v>1</v>
      </c>
      <c r="G49" s="29">
        <v>359.09</v>
      </c>
      <c r="H49" s="30">
        <f>Tabela13[[#This Row],[VALOR UNI.]]*Tabela13[[#This Row],[QUANT.]]</f>
        <v>359.09</v>
      </c>
      <c r="I49" s="50">
        <f>H49/Tabela13[[#Totals],[VALOR TOTAL]]</f>
        <v>1.4064461175017518E-3</v>
      </c>
      <c r="J49" s="53">
        <f t="shared" si="1"/>
        <v>0.99232605805352392</v>
      </c>
      <c r="K49" s="56" t="str">
        <f t="shared" si="0"/>
        <v>C</v>
      </c>
      <c r="L49" s="34"/>
      <c r="M49" s="34"/>
      <c r="N49" s="34"/>
      <c r="O49" s="34"/>
    </row>
    <row r="50" spans="1:15" ht="32.25" x14ac:dyDescent="0.25">
      <c r="A50" s="26" t="s">
        <v>115</v>
      </c>
      <c r="B50" s="31" t="s">
        <v>32</v>
      </c>
      <c r="C50" s="35" t="s">
        <v>2</v>
      </c>
      <c r="D50" s="35">
        <v>11854</v>
      </c>
      <c r="E50" s="35" t="s">
        <v>5</v>
      </c>
      <c r="F50" s="28">
        <v>30</v>
      </c>
      <c r="G50" s="29">
        <v>8.44</v>
      </c>
      <c r="H50" s="30">
        <f>Tabela13[[#This Row],[VALOR UNI.]]*Tabela13[[#This Row],[QUANT.]]</f>
        <v>253.2</v>
      </c>
      <c r="I50" s="50">
        <f>H50/Tabela13[[#Totals],[VALOR TOTAL]]</f>
        <v>9.9170725152870746E-4</v>
      </c>
      <c r="J50" s="53">
        <f t="shared" si="1"/>
        <v>0.99331776530505267</v>
      </c>
      <c r="K50" s="56" t="str">
        <f t="shared" si="0"/>
        <v>C</v>
      </c>
      <c r="L50" s="34"/>
      <c r="M50" s="34"/>
      <c r="N50" s="34"/>
      <c r="O50" s="34"/>
    </row>
    <row r="51" spans="1:15" x14ac:dyDescent="0.25">
      <c r="A51" s="26" t="s">
        <v>105</v>
      </c>
      <c r="B51" s="27" t="s">
        <v>18</v>
      </c>
      <c r="C51" s="35" t="s">
        <v>73</v>
      </c>
      <c r="D51" s="35"/>
      <c r="E51" s="35" t="s">
        <v>5</v>
      </c>
      <c r="F51" s="28">
        <v>1</v>
      </c>
      <c r="G51" s="29">
        <v>233.94</v>
      </c>
      <c r="H51" s="30">
        <f>Tabela13[[#This Row],[VALOR UNI.]]*Tabela13[[#This Row],[QUANT.]]</f>
        <v>233.94</v>
      </c>
      <c r="I51" s="50">
        <f>H51/Tabela13[[#Totals],[VALOR TOTAL]]</f>
        <v>9.162716999313817E-4</v>
      </c>
      <c r="J51" s="53">
        <f t="shared" si="1"/>
        <v>0.99423403700498403</v>
      </c>
      <c r="K51" s="56" t="str">
        <f t="shared" si="0"/>
        <v>C</v>
      </c>
      <c r="L51" s="66"/>
      <c r="M51" s="67"/>
      <c r="N51" s="68"/>
      <c r="O51" s="68"/>
    </row>
    <row r="52" spans="1:15" x14ac:dyDescent="0.25">
      <c r="A52" s="26" t="s">
        <v>137</v>
      </c>
      <c r="B52" s="27" t="s">
        <v>53</v>
      </c>
      <c r="C52" s="35" t="s">
        <v>77</v>
      </c>
      <c r="D52" s="35">
        <v>10339</v>
      </c>
      <c r="E52" s="35" t="s">
        <v>5</v>
      </c>
      <c r="F52" s="28">
        <v>1</v>
      </c>
      <c r="G52" s="29">
        <v>214.09</v>
      </c>
      <c r="H52" s="30">
        <f>Tabela13[[#This Row],[VALOR UNI.]]*Tabela13[[#This Row],[QUANT.]]</f>
        <v>214.09</v>
      </c>
      <c r="I52" s="50">
        <f>H52/Tabela13[[#Totals],[VALOR TOTAL]]</f>
        <v>8.3852529810340048E-4</v>
      </c>
      <c r="J52" s="53">
        <f t="shared" si="1"/>
        <v>0.99507256230308738</v>
      </c>
      <c r="K52" s="56" t="str">
        <f t="shared" si="0"/>
        <v>C</v>
      </c>
      <c r="L52" s="34"/>
      <c r="M52" s="34"/>
      <c r="N52" s="34"/>
      <c r="O52" s="34"/>
    </row>
    <row r="53" spans="1:15" x14ac:dyDescent="0.25">
      <c r="A53" s="26" t="s">
        <v>146</v>
      </c>
      <c r="B53" s="27" t="s">
        <v>43</v>
      </c>
      <c r="C53" s="35" t="s">
        <v>2</v>
      </c>
      <c r="D53" s="35">
        <v>2685</v>
      </c>
      <c r="E53" s="35" t="s">
        <v>5</v>
      </c>
      <c r="F53" s="28">
        <v>36</v>
      </c>
      <c r="G53" s="29">
        <v>5.64</v>
      </c>
      <c r="H53" s="30">
        <f>Tabela13[[#This Row],[VALOR UNI.]]*Tabela13[[#This Row],[QUANT.]]</f>
        <v>203.04</v>
      </c>
      <c r="I53" s="50">
        <f>H53/Tabela13[[#Totals],[VALOR TOTAL]]</f>
        <v>7.9524581496993993E-4</v>
      </c>
      <c r="J53" s="53">
        <f t="shared" si="1"/>
        <v>0.99586780811805731</v>
      </c>
      <c r="K53" s="56" t="str">
        <f t="shared" si="0"/>
        <v>C</v>
      </c>
      <c r="L53" s="34"/>
      <c r="M53" s="34"/>
      <c r="N53" s="34"/>
      <c r="O53" s="34"/>
    </row>
    <row r="54" spans="1:15" x14ac:dyDescent="0.25">
      <c r="A54" s="26" t="s">
        <v>162</v>
      </c>
      <c r="B54" s="27" t="s">
        <v>51</v>
      </c>
      <c r="C54" s="35" t="s">
        <v>3</v>
      </c>
      <c r="D54" s="35"/>
      <c r="E54" s="35" t="s">
        <v>5</v>
      </c>
      <c r="F54" s="28">
        <v>4</v>
      </c>
      <c r="G54" s="29">
        <v>50.27</v>
      </c>
      <c r="H54" s="30">
        <f>Tabela13[[#This Row],[VALOR UNI.]]*Tabela13[[#This Row],[QUANT.]]</f>
        <v>201.08</v>
      </c>
      <c r="I54" s="50">
        <f>H54/Tabela13[[#Totals],[VALOR TOTAL]]</f>
        <v>7.8756909216979676E-4</v>
      </c>
      <c r="J54" s="53">
        <f t="shared" si="1"/>
        <v>0.99665537721022712</v>
      </c>
      <c r="K54" s="56" t="str">
        <f t="shared" si="0"/>
        <v>C</v>
      </c>
      <c r="L54" s="34"/>
      <c r="M54" s="34"/>
      <c r="N54" s="34"/>
      <c r="O54" s="34"/>
    </row>
    <row r="55" spans="1:15" x14ac:dyDescent="0.25">
      <c r="A55" s="26" t="s">
        <v>128</v>
      </c>
      <c r="B55" s="27" t="s">
        <v>56</v>
      </c>
      <c r="C55" s="35" t="s">
        <v>2</v>
      </c>
      <c r="D55" s="35">
        <v>39961</v>
      </c>
      <c r="E55" s="35" t="s">
        <v>5</v>
      </c>
      <c r="F55" s="28">
        <v>10</v>
      </c>
      <c r="G55" s="29">
        <v>18.760000000000002</v>
      </c>
      <c r="H55" s="30">
        <f>Tabela13[[#This Row],[VALOR UNI.]]*Tabela13[[#This Row],[QUANT.]]</f>
        <v>187.60000000000002</v>
      </c>
      <c r="I55" s="50">
        <f>H55/Tabela13[[#Totals],[VALOR TOTAL]]</f>
        <v>7.3477203944228111E-4</v>
      </c>
      <c r="J55" s="53">
        <f t="shared" si="1"/>
        <v>0.9973901492496694</v>
      </c>
      <c r="K55" s="56" t="str">
        <f t="shared" si="0"/>
        <v>C</v>
      </c>
      <c r="L55" s="34"/>
      <c r="M55" s="34"/>
      <c r="N55" s="34"/>
      <c r="O55" s="34"/>
    </row>
    <row r="56" spans="1:15" ht="30" x14ac:dyDescent="0.25">
      <c r="A56" s="26" t="s">
        <v>127</v>
      </c>
      <c r="B56" s="31" t="s">
        <v>28</v>
      </c>
      <c r="C56" s="35" t="s">
        <v>2</v>
      </c>
      <c r="D56" s="35">
        <v>7571</v>
      </c>
      <c r="E56" s="35" t="s">
        <v>5</v>
      </c>
      <c r="F56" s="28">
        <v>16</v>
      </c>
      <c r="G56" s="29">
        <v>9.89</v>
      </c>
      <c r="H56" s="30">
        <f>Tabela13[[#This Row],[VALOR UNI.]]*Tabela13[[#This Row],[QUANT.]]</f>
        <v>158.24</v>
      </c>
      <c r="I56" s="50">
        <f>H56/Tabela13[[#Totals],[VALOR TOTAL]]</f>
        <v>6.1977786525238034E-4</v>
      </c>
      <c r="J56" s="53">
        <f t="shared" si="1"/>
        <v>0.99800992711492176</v>
      </c>
      <c r="K56" s="56" t="str">
        <f t="shared" si="0"/>
        <v>C</v>
      </c>
      <c r="L56" s="34"/>
      <c r="M56" s="34"/>
      <c r="N56" s="34"/>
      <c r="O56" s="34"/>
    </row>
    <row r="57" spans="1:15" x14ac:dyDescent="0.25">
      <c r="A57" s="26" t="s">
        <v>161</v>
      </c>
      <c r="B57" s="27" t="s">
        <v>50</v>
      </c>
      <c r="C57" s="35" t="s">
        <v>3</v>
      </c>
      <c r="D57" s="35"/>
      <c r="E57" s="35" t="s">
        <v>5</v>
      </c>
      <c r="F57" s="28">
        <v>4</v>
      </c>
      <c r="G57" s="29">
        <v>39.36</v>
      </c>
      <c r="H57" s="30">
        <f>Tabela13[[#This Row],[VALOR UNI.]]*Tabela13[[#This Row],[QUANT.]]</f>
        <v>157.44</v>
      </c>
      <c r="I57" s="50">
        <f>H57/Tabela13[[#Totals],[VALOR TOTAL]]</f>
        <v>6.1664450900742384E-4</v>
      </c>
      <c r="J57" s="53">
        <f t="shared" si="1"/>
        <v>0.9986265716239292</v>
      </c>
      <c r="K57" s="56" t="str">
        <f t="shared" si="0"/>
        <v>C</v>
      </c>
      <c r="L57" s="34"/>
      <c r="M57" s="34"/>
      <c r="N57" s="34"/>
      <c r="O57" s="34"/>
    </row>
    <row r="58" spans="1:15" ht="17.25" x14ac:dyDescent="0.25">
      <c r="A58" s="26" t="s">
        <v>133</v>
      </c>
      <c r="B58" s="27" t="s">
        <v>34</v>
      </c>
      <c r="C58" s="35" t="s">
        <v>2</v>
      </c>
      <c r="D58" s="35">
        <v>1578</v>
      </c>
      <c r="E58" s="35" t="s">
        <v>5</v>
      </c>
      <c r="F58" s="28">
        <v>24</v>
      </c>
      <c r="G58" s="29">
        <v>4.47</v>
      </c>
      <c r="H58" s="30">
        <f>Tabela13[[#This Row],[VALOR UNI.]]*Tabela13[[#This Row],[QUANT.]]</f>
        <v>107.28</v>
      </c>
      <c r="I58" s="50">
        <f>H58/Tabela13[[#Totals],[VALOR TOTAL]]</f>
        <v>4.201830724486562E-4</v>
      </c>
      <c r="J58" s="53">
        <f t="shared" si="1"/>
        <v>0.99904675469637783</v>
      </c>
      <c r="K58" s="56" t="str">
        <f t="shared" si="0"/>
        <v>C</v>
      </c>
      <c r="L58" s="34"/>
      <c r="M58" s="34"/>
      <c r="N58" s="34"/>
      <c r="O58" s="34"/>
    </row>
    <row r="59" spans="1:15" x14ac:dyDescent="0.25">
      <c r="A59" s="26" t="s">
        <v>139</v>
      </c>
      <c r="B59" s="27" t="s">
        <v>55</v>
      </c>
      <c r="C59" s="35" t="s">
        <v>3</v>
      </c>
      <c r="D59" s="35"/>
      <c r="E59" s="35" t="s">
        <v>5</v>
      </c>
      <c r="F59" s="28">
        <v>1</v>
      </c>
      <c r="G59" s="29">
        <v>105.98</v>
      </c>
      <c r="H59" s="30">
        <f>Tabela13[[#This Row],[VALOR UNI.]]*Tabela13[[#This Row],[QUANT.]]</f>
        <v>105.98</v>
      </c>
      <c r="I59" s="50">
        <f>H59/Tabela13[[#Totals],[VALOR TOTAL]]</f>
        <v>4.1509136855060201E-4</v>
      </c>
      <c r="J59" s="53">
        <f t="shared" si="1"/>
        <v>0.99946184606492838</v>
      </c>
      <c r="K59" s="56" t="str">
        <f t="shared" si="0"/>
        <v>C</v>
      </c>
      <c r="L59" s="34"/>
      <c r="M59" s="34"/>
      <c r="N59" s="34"/>
      <c r="O59" s="34"/>
    </row>
    <row r="60" spans="1:15" ht="30" x14ac:dyDescent="0.25">
      <c r="A60" s="36" t="s">
        <v>147</v>
      </c>
      <c r="B60" s="31" t="s">
        <v>44</v>
      </c>
      <c r="C60" s="37" t="s">
        <v>2</v>
      </c>
      <c r="D60" s="37">
        <v>393</v>
      </c>
      <c r="E60" s="37" t="s">
        <v>5</v>
      </c>
      <c r="F60" s="38">
        <v>48</v>
      </c>
      <c r="G60" s="39">
        <v>1.3</v>
      </c>
      <c r="H60" s="40">
        <f>Tabela13[[#This Row],[VALOR UNI.]]*Tabela13[[#This Row],[QUANT.]]</f>
        <v>62.400000000000006</v>
      </c>
      <c r="I60" s="50">
        <f>H60/Tabela13[[#Totals],[VALOR TOTAL]]</f>
        <v>2.4440178710660092E-4</v>
      </c>
      <c r="J60" s="53">
        <f t="shared" si="1"/>
        <v>0.99970624785203499</v>
      </c>
      <c r="K60" s="56" t="str">
        <f t="shared" si="0"/>
        <v>C</v>
      </c>
      <c r="L60" s="34"/>
      <c r="M60" s="34"/>
      <c r="N60" s="34"/>
      <c r="O60" s="34"/>
    </row>
    <row r="61" spans="1:15" x14ac:dyDescent="0.25">
      <c r="A61" s="26" t="s">
        <v>123</v>
      </c>
      <c r="B61" s="27" t="s">
        <v>38</v>
      </c>
      <c r="C61" s="35" t="s">
        <v>77</v>
      </c>
      <c r="D61" s="35">
        <v>9877</v>
      </c>
      <c r="E61" s="35" t="s">
        <v>5</v>
      </c>
      <c r="F61" s="28">
        <v>100</v>
      </c>
      <c r="G61" s="29">
        <v>0.31</v>
      </c>
      <c r="H61" s="30">
        <f>Tabela13[[#This Row],[VALOR UNI.]]*Tabela13[[#This Row],[QUANT.]]</f>
        <v>31</v>
      </c>
      <c r="I61" s="50">
        <f>H61/Tabela13[[#Totals],[VALOR TOTAL]]</f>
        <v>1.2141755449206135E-4</v>
      </c>
      <c r="J61" s="53">
        <f t="shared" si="1"/>
        <v>0.99982766540652701</v>
      </c>
      <c r="K61" s="56" t="str">
        <f t="shared" si="0"/>
        <v>C</v>
      </c>
      <c r="L61" s="34"/>
      <c r="M61" s="34"/>
      <c r="N61" s="34"/>
      <c r="O61" s="34"/>
    </row>
    <row r="62" spans="1:15" x14ac:dyDescent="0.25">
      <c r="A62" s="26" t="s">
        <v>125</v>
      </c>
      <c r="B62" s="34" t="s">
        <v>40</v>
      </c>
      <c r="C62" s="35" t="s">
        <v>77</v>
      </c>
      <c r="D62" s="35">
        <v>12431</v>
      </c>
      <c r="E62" s="35" t="s">
        <v>5</v>
      </c>
      <c r="F62" s="28">
        <v>100</v>
      </c>
      <c r="G62" s="29">
        <v>0.3</v>
      </c>
      <c r="H62" s="30">
        <f>Tabela13[[#This Row],[VALOR UNI.]]*Tabela13[[#This Row],[QUANT.]]</f>
        <v>30</v>
      </c>
      <c r="I62" s="50">
        <f>H62/Tabela13[[#Totals],[VALOR TOTAL]]</f>
        <v>1.1750085918586583E-4</v>
      </c>
      <c r="J62" s="53">
        <f t="shared" si="1"/>
        <v>0.99994516626571284</v>
      </c>
      <c r="K62" s="56" t="str">
        <f t="shared" si="0"/>
        <v>C</v>
      </c>
      <c r="L62" s="34"/>
      <c r="M62" s="34"/>
      <c r="N62" s="34"/>
      <c r="O62" s="34"/>
    </row>
    <row r="63" spans="1:15" ht="15.75" thickBot="1" x14ac:dyDescent="0.3">
      <c r="A63" s="26" t="s">
        <v>124</v>
      </c>
      <c r="B63" s="34" t="s">
        <v>39</v>
      </c>
      <c r="C63" s="35" t="s">
        <v>77</v>
      </c>
      <c r="D63" s="35">
        <v>11900</v>
      </c>
      <c r="E63" s="35" t="s">
        <v>5</v>
      </c>
      <c r="F63" s="28">
        <v>100</v>
      </c>
      <c r="G63" s="29">
        <v>0.14000000000000001</v>
      </c>
      <c r="H63" s="30">
        <f>Tabela13[[#This Row],[VALOR UNI.]]*Tabela13[[#This Row],[QUANT.]]</f>
        <v>14.000000000000002</v>
      </c>
      <c r="I63" s="51">
        <f>H63/Tabela13[[#Totals],[VALOR TOTAL]]</f>
        <v>5.4833734286737393E-5</v>
      </c>
      <c r="J63" s="54">
        <f t="shared" si="1"/>
        <v>0.99999999999999956</v>
      </c>
      <c r="K63" s="57" t="str">
        <f t="shared" si="0"/>
        <v>C</v>
      </c>
      <c r="L63" s="34"/>
      <c r="M63" s="34"/>
      <c r="N63" s="34"/>
      <c r="O63" s="34"/>
    </row>
    <row r="64" spans="1:15" x14ac:dyDescent="0.25">
      <c r="A64" s="15"/>
      <c r="B64" s="16" t="s">
        <v>60</v>
      </c>
      <c r="C64" s="17"/>
      <c r="D64" s="17"/>
      <c r="E64" s="17"/>
      <c r="F64" s="18"/>
      <c r="G64" s="19"/>
      <c r="H64" s="12">
        <f>SUBTOTAL(109,Tabela13[VALOR TOTAL])</f>
        <v>255317.28200000004</v>
      </c>
      <c r="I64" s="58"/>
      <c r="J64" s="59"/>
      <c r="K64" s="59"/>
    </row>
    <row r="65" spans="1:11" x14ac:dyDescent="0.25">
      <c r="A65" s="20"/>
      <c r="B65" s="11" t="s">
        <v>78</v>
      </c>
      <c r="C65" s="10"/>
      <c r="D65" s="10"/>
      <c r="E65" s="10"/>
      <c r="F65" s="10"/>
      <c r="G65" s="21"/>
      <c r="H65" s="13">
        <f>Tabela13[[#Totals],[VALOR TOTAL]]*0.2579</f>
        <v>65846.327027800013</v>
      </c>
      <c r="I65" s="60"/>
      <c r="J65" s="61"/>
      <c r="K65" s="62"/>
    </row>
    <row r="66" spans="1:11" ht="15.75" thickBot="1" x14ac:dyDescent="0.3">
      <c r="A66" s="22"/>
      <c r="B66" s="23" t="s">
        <v>0</v>
      </c>
      <c r="C66" s="24"/>
      <c r="D66" s="24"/>
      <c r="E66" s="24"/>
      <c r="F66" s="24"/>
      <c r="G66" s="25"/>
      <c r="H66" s="14">
        <f>Tabela13[[#Totals],[VALOR TOTAL]]+H65</f>
        <v>321163.60902780003</v>
      </c>
      <c r="I66" s="63"/>
      <c r="J66" s="64"/>
      <c r="K66" s="65"/>
    </row>
  </sheetData>
  <mergeCells count="17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3:H13"/>
    <mergeCell ref="A14:H14"/>
    <mergeCell ref="A15:H15"/>
    <mergeCell ref="A16:H17"/>
    <mergeCell ref="A18:H18"/>
  </mergeCells>
  <phoneticPr fontId="8" type="noConversion"/>
  <conditionalFormatting sqref="K20:K63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rintOptions horizontalCentered="1" verticalCentered="1"/>
  <pageMargins left="0.25" right="0.25" top="0.75" bottom="0.75" header="0.3" footer="0.3"/>
  <pageSetup paperSize="8" scale="65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252519E-6BA2-481B-82BA-E80C77D78919}">
          <x14:formula1>
            <xm:f>'planilha suporte'!$B$2:$B$22</xm:f>
          </x14:formula1>
          <xm:sqref>E65:E1048576 E19:E63</xm:sqref>
        </x14:dataValidation>
        <x14:dataValidation type="list" allowBlank="1" showInputMessage="1" showErrorMessage="1" xr:uid="{A03BAD54-0176-4702-B0CE-5932B33CB4A0}">
          <x14:formula1>
            <xm:f>'planilha suporte'!$A$2:$A$5</xm:f>
          </x14:formula1>
          <xm:sqref>C65:C1048576 C20:C63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0162-83E2-41B6-A975-BABDF9A11504}">
  <dimension ref="A1:H37"/>
  <sheetViews>
    <sheetView showGridLines="0" view="pageBreakPreview" zoomScale="60" zoomScaleNormal="100" workbookViewId="0">
      <selection activeCell="F44" sqref="F44"/>
    </sheetView>
  </sheetViews>
  <sheetFormatPr defaultRowHeight="15" x14ac:dyDescent="0.25"/>
  <cols>
    <col min="1" max="1" width="5.42578125" bestFit="1" customWidth="1"/>
    <col min="2" max="2" width="12.7109375" customWidth="1"/>
    <col min="3" max="3" width="15.140625" bestFit="1" customWidth="1"/>
    <col min="4" max="4" width="21.7109375" bestFit="1" customWidth="1"/>
    <col min="5" max="8" width="30.7109375" customWidth="1"/>
  </cols>
  <sheetData>
    <row r="1" spans="1:8" ht="82.5" customHeight="1" x14ac:dyDescent="0.25">
      <c r="A1" s="218"/>
      <c r="B1" s="219"/>
      <c r="C1" s="219"/>
      <c r="D1" s="219"/>
      <c r="E1" s="219"/>
      <c r="F1" s="219"/>
      <c r="G1" s="219"/>
      <c r="H1" s="220"/>
    </row>
    <row r="2" spans="1:8" x14ac:dyDescent="0.25">
      <c r="A2" s="214" t="s">
        <v>86</v>
      </c>
      <c r="B2" s="215"/>
      <c r="C2" s="215"/>
      <c r="D2" s="215"/>
      <c r="E2" s="215"/>
      <c r="F2" s="215"/>
      <c r="G2" s="215"/>
      <c r="H2" s="216"/>
    </row>
    <row r="3" spans="1:8" x14ac:dyDescent="0.25">
      <c r="A3" s="214" t="s">
        <v>87</v>
      </c>
      <c r="B3" s="215"/>
      <c r="C3" s="215"/>
      <c r="D3" s="215"/>
      <c r="E3" s="215"/>
      <c r="F3" s="215"/>
      <c r="G3" s="215"/>
      <c r="H3" s="216"/>
    </row>
    <row r="4" spans="1:8" x14ac:dyDescent="0.25">
      <c r="A4" s="214" t="s">
        <v>88</v>
      </c>
      <c r="B4" s="215"/>
      <c r="C4" s="215"/>
      <c r="D4" s="215"/>
      <c r="E4" s="215"/>
      <c r="F4" s="215"/>
      <c r="G4" s="215"/>
      <c r="H4" s="216"/>
    </row>
    <row r="5" spans="1:8" x14ac:dyDescent="0.25">
      <c r="A5" s="214" t="s">
        <v>89</v>
      </c>
      <c r="B5" s="215"/>
      <c r="C5" s="215"/>
      <c r="D5" s="215"/>
      <c r="E5" s="215"/>
      <c r="F5" s="215"/>
      <c r="G5" s="215"/>
      <c r="H5" s="216"/>
    </row>
    <row r="6" spans="1:8" x14ac:dyDescent="0.25">
      <c r="A6" s="214" t="s">
        <v>90</v>
      </c>
      <c r="B6" s="215"/>
      <c r="C6" s="215"/>
      <c r="D6" s="215"/>
      <c r="E6" s="215"/>
      <c r="F6" s="215"/>
      <c r="G6" s="215"/>
      <c r="H6" s="216"/>
    </row>
    <row r="7" spans="1:8" x14ac:dyDescent="0.25">
      <c r="A7" s="214" t="s">
        <v>91</v>
      </c>
      <c r="B7" s="215"/>
      <c r="C7" s="215"/>
      <c r="D7" s="215"/>
      <c r="E7" s="215"/>
      <c r="F7" s="215"/>
      <c r="G7" s="215"/>
      <c r="H7" s="216"/>
    </row>
    <row r="8" spans="1:8" x14ac:dyDescent="0.25">
      <c r="A8" s="214" t="s">
        <v>92</v>
      </c>
      <c r="B8" s="215"/>
      <c r="C8" s="215"/>
      <c r="D8" s="215"/>
      <c r="E8" s="215"/>
      <c r="F8" s="215"/>
      <c r="G8" s="215"/>
      <c r="H8" s="216"/>
    </row>
    <row r="9" spans="1:8" x14ac:dyDescent="0.25">
      <c r="A9" s="214"/>
      <c r="B9" s="215"/>
      <c r="C9" s="215"/>
      <c r="D9" s="215"/>
      <c r="E9" s="215"/>
      <c r="F9" s="215"/>
      <c r="G9" s="215"/>
      <c r="H9" s="216"/>
    </row>
    <row r="10" spans="1:8" x14ac:dyDescent="0.25">
      <c r="A10" s="217" t="s">
        <v>163</v>
      </c>
      <c r="B10" s="215"/>
      <c r="C10" s="215"/>
      <c r="D10" s="215"/>
      <c r="E10" s="215"/>
      <c r="F10" s="215"/>
      <c r="G10" s="215"/>
      <c r="H10" s="216"/>
    </row>
    <row r="11" spans="1:8" x14ac:dyDescent="0.25">
      <c r="A11" s="214"/>
      <c r="B11" s="215"/>
      <c r="C11" s="215"/>
      <c r="D11" s="215"/>
      <c r="E11" s="215"/>
      <c r="F11" s="215"/>
      <c r="G11" s="215"/>
      <c r="H11" s="216"/>
    </row>
    <row r="12" spans="1:8" x14ac:dyDescent="0.25">
      <c r="A12" s="217" t="s">
        <v>95</v>
      </c>
      <c r="B12" s="215"/>
      <c r="C12" s="215"/>
      <c r="D12" s="215"/>
      <c r="E12" s="215"/>
      <c r="F12" s="215"/>
      <c r="G12" s="215"/>
      <c r="H12" s="216"/>
    </row>
    <row r="13" spans="1:8" x14ac:dyDescent="0.25">
      <c r="A13" s="214"/>
      <c r="B13" s="215"/>
      <c r="C13" s="215"/>
      <c r="D13" s="215"/>
      <c r="E13" s="215"/>
      <c r="F13" s="215"/>
      <c r="G13" s="215"/>
      <c r="H13" s="216"/>
    </row>
    <row r="14" spans="1:8" x14ac:dyDescent="0.25">
      <c r="A14" s="221" t="s">
        <v>93</v>
      </c>
      <c r="B14" s="222"/>
      <c r="C14" s="222"/>
      <c r="D14" s="222"/>
      <c r="E14" s="222"/>
      <c r="F14" s="222"/>
      <c r="G14" s="222"/>
      <c r="H14" s="223"/>
    </row>
    <row r="15" spans="1:8" x14ac:dyDescent="0.25">
      <c r="A15" s="214"/>
      <c r="B15" s="215"/>
      <c r="C15" s="215"/>
      <c r="D15" s="215"/>
      <c r="E15" s="215"/>
      <c r="F15" s="215"/>
      <c r="G15" s="215"/>
      <c r="H15" s="216"/>
    </row>
    <row r="16" spans="1:8" x14ac:dyDescent="0.25">
      <c r="A16" s="224" t="s">
        <v>94</v>
      </c>
      <c r="B16" s="225"/>
      <c r="C16" s="225"/>
      <c r="D16" s="225"/>
      <c r="E16" s="225"/>
      <c r="F16" s="225"/>
      <c r="G16" s="225"/>
      <c r="H16" s="226"/>
    </row>
    <row r="17" spans="1:8" x14ac:dyDescent="0.25">
      <c r="A17" s="270"/>
      <c r="B17" s="271"/>
      <c r="C17" s="271"/>
      <c r="D17" s="271"/>
      <c r="E17" s="271"/>
      <c r="F17" s="271"/>
      <c r="G17" s="271"/>
      <c r="H17" s="272"/>
    </row>
    <row r="18" spans="1:8" ht="15.75" thickBot="1" x14ac:dyDescent="0.3">
      <c r="A18" s="218"/>
      <c r="B18" s="219"/>
      <c r="C18" s="219"/>
      <c r="D18" s="219"/>
      <c r="E18" s="219"/>
      <c r="F18" s="219"/>
      <c r="G18" s="219"/>
      <c r="H18" s="220"/>
    </row>
    <row r="19" spans="1:8" ht="15.75" thickBot="1" x14ac:dyDescent="0.3">
      <c r="A19" s="264" t="s">
        <v>12</v>
      </c>
      <c r="B19" s="266" t="s">
        <v>61</v>
      </c>
      <c r="C19" s="267"/>
      <c r="D19" s="264" t="s">
        <v>85</v>
      </c>
      <c r="E19" s="253" t="s">
        <v>62</v>
      </c>
      <c r="F19" s="254"/>
      <c r="G19" s="255"/>
      <c r="H19" s="256" t="s">
        <v>63</v>
      </c>
    </row>
    <row r="20" spans="1:8" ht="15.75" thickBot="1" x14ac:dyDescent="0.3">
      <c r="A20" s="265"/>
      <c r="B20" s="268"/>
      <c r="C20" s="269"/>
      <c r="D20" s="265"/>
      <c r="E20" s="179" t="s">
        <v>64</v>
      </c>
      <c r="F20" s="180" t="s">
        <v>65</v>
      </c>
      <c r="G20" s="180" t="s">
        <v>66</v>
      </c>
      <c r="H20" s="257"/>
    </row>
    <row r="21" spans="1:8" x14ac:dyDescent="0.25">
      <c r="A21" s="258">
        <v>1</v>
      </c>
      <c r="B21" s="259" t="s">
        <v>67</v>
      </c>
      <c r="C21" s="260"/>
      <c r="D21" s="263">
        <f>'SPDA - MINFRA '!H79*0.05</f>
        <v>0</v>
      </c>
      <c r="E21" s="4">
        <f>D21*E22</f>
        <v>0</v>
      </c>
      <c r="F21" s="4">
        <f>D21*F22</f>
        <v>0</v>
      </c>
      <c r="G21" s="4">
        <f>D21*G22</f>
        <v>0</v>
      </c>
      <c r="H21" s="5">
        <f>E21+F21+G21</f>
        <v>0</v>
      </c>
    </row>
    <row r="22" spans="1:8" x14ac:dyDescent="0.25">
      <c r="A22" s="240"/>
      <c r="B22" s="261"/>
      <c r="C22" s="262"/>
      <c r="D22" s="246"/>
      <c r="E22" s="6">
        <v>0.3</v>
      </c>
      <c r="F22" s="6">
        <v>0.3</v>
      </c>
      <c r="G22" s="6">
        <v>0.4</v>
      </c>
      <c r="H22" s="7">
        <f>E22+F22+G22</f>
        <v>1</v>
      </c>
    </row>
    <row r="23" spans="1:8" x14ac:dyDescent="0.25">
      <c r="A23" s="239">
        <v>2</v>
      </c>
      <c r="B23" s="241" t="s">
        <v>79</v>
      </c>
      <c r="C23" s="242"/>
      <c r="D23" s="245">
        <f>'SPDA - MINFRA '!H79*0.15</f>
        <v>0</v>
      </c>
      <c r="E23" s="4">
        <f t="shared" ref="E23" si="0">D23*E24</f>
        <v>0</v>
      </c>
      <c r="F23" s="4">
        <f t="shared" ref="F23" si="1">D23*F24</f>
        <v>0</v>
      </c>
      <c r="G23" s="4">
        <f>D23*G24</f>
        <v>0</v>
      </c>
      <c r="H23" s="8">
        <f>E23+F23+G23</f>
        <v>0</v>
      </c>
    </row>
    <row r="24" spans="1:8" x14ac:dyDescent="0.25">
      <c r="A24" s="240"/>
      <c r="B24" s="243"/>
      <c r="C24" s="244"/>
      <c r="D24" s="246"/>
      <c r="E24" s="6">
        <v>0.25</v>
      </c>
      <c r="F24" s="6">
        <v>0.35</v>
      </c>
      <c r="G24" s="6">
        <v>0.4</v>
      </c>
      <c r="H24" s="9">
        <f t="shared" ref="H24:H34" si="2">E24+F24+G24</f>
        <v>1</v>
      </c>
    </row>
    <row r="25" spans="1:8" x14ac:dyDescent="0.25">
      <c r="A25" s="239">
        <v>3</v>
      </c>
      <c r="B25" s="241" t="s">
        <v>80</v>
      </c>
      <c r="C25" s="242"/>
      <c r="D25" s="245">
        <f>'SPDA - MINFRA '!H79*0.1</f>
        <v>0</v>
      </c>
      <c r="E25" s="4">
        <f t="shared" ref="E25" si="3">D25*E26</f>
        <v>0</v>
      </c>
      <c r="F25" s="4">
        <f t="shared" ref="F25" si="4">D25*F26</f>
        <v>0</v>
      </c>
      <c r="G25" s="4">
        <f>D25*G26</f>
        <v>0</v>
      </c>
      <c r="H25" s="8">
        <f>E25+F25+G25</f>
        <v>0</v>
      </c>
    </row>
    <row r="26" spans="1:8" x14ac:dyDescent="0.25">
      <c r="A26" s="240"/>
      <c r="B26" s="243"/>
      <c r="C26" s="244"/>
      <c r="D26" s="246"/>
      <c r="E26" s="6">
        <v>0.25</v>
      </c>
      <c r="F26" s="6">
        <v>0.35</v>
      </c>
      <c r="G26" s="6">
        <v>0.4</v>
      </c>
      <c r="H26" s="9">
        <f t="shared" si="2"/>
        <v>1</v>
      </c>
    </row>
    <row r="27" spans="1:8" x14ac:dyDescent="0.25">
      <c r="A27" s="239">
        <v>4</v>
      </c>
      <c r="B27" s="241" t="s">
        <v>81</v>
      </c>
      <c r="C27" s="242"/>
      <c r="D27" s="245">
        <f>'SPDA - MINFRA '!H79*0.2</f>
        <v>0</v>
      </c>
      <c r="E27" s="4">
        <f t="shared" ref="E27" si="5">D27*E28</f>
        <v>0</v>
      </c>
      <c r="F27" s="4">
        <f t="shared" ref="F27" si="6">D27*F28</f>
        <v>0</v>
      </c>
      <c r="G27" s="4">
        <f>D27*G28</f>
        <v>0</v>
      </c>
      <c r="H27" s="8">
        <f>E27+F27+G27</f>
        <v>0</v>
      </c>
    </row>
    <row r="28" spans="1:8" x14ac:dyDescent="0.25">
      <c r="A28" s="240"/>
      <c r="B28" s="243"/>
      <c r="C28" s="244"/>
      <c r="D28" s="246"/>
      <c r="E28" s="6">
        <v>0.15</v>
      </c>
      <c r="F28" s="6">
        <v>0.35</v>
      </c>
      <c r="G28" s="6">
        <v>0.5</v>
      </c>
      <c r="H28" s="9">
        <f t="shared" si="2"/>
        <v>1</v>
      </c>
    </row>
    <row r="29" spans="1:8" x14ac:dyDescent="0.25">
      <c r="A29" s="239">
        <v>5</v>
      </c>
      <c r="B29" s="241" t="s">
        <v>82</v>
      </c>
      <c r="C29" s="242"/>
      <c r="D29" s="245">
        <f>'SPDA - MINFRA '!H79*0.15</f>
        <v>0</v>
      </c>
      <c r="E29" s="4">
        <f t="shared" ref="E29" si="7">D29*E30</f>
        <v>0</v>
      </c>
      <c r="F29" s="4">
        <f t="shared" ref="F29" si="8">D29*F30</f>
        <v>0</v>
      </c>
      <c r="G29" s="4">
        <f>D29*G30</f>
        <v>0</v>
      </c>
      <c r="H29" s="8">
        <f>E29+F29+G29</f>
        <v>0</v>
      </c>
    </row>
    <row r="30" spans="1:8" x14ac:dyDescent="0.25">
      <c r="A30" s="240"/>
      <c r="B30" s="243"/>
      <c r="C30" s="244"/>
      <c r="D30" s="246"/>
      <c r="E30" s="6">
        <v>0.3</v>
      </c>
      <c r="F30" s="6">
        <v>0.3</v>
      </c>
      <c r="G30" s="6">
        <v>0.4</v>
      </c>
      <c r="H30" s="9">
        <f t="shared" si="2"/>
        <v>1</v>
      </c>
    </row>
    <row r="31" spans="1:8" x14ac:dyDescent="0.25">
      <c r="A31" s="239">
        <v>6</v>
      </c>
      <c r="B31" s="241" t="s">
        <v>83</v>
      </c>
      <c r="C31" s="242"/>
      <c r="D31" s="245">
        <f>'SPDA - MINFRA '!H79*0.2</f>
        <v>0</v>
      </c>
      <c r="E31" s="4">
        <f t="shared" ref="E31" si="9">D31*E32</f>
        <v>0</v>
      </c>
      <c r="F31" s="4">
        <f t="shared" ref="F31" si="10">D31*F32</f>
        <v>0</v>
      </c>
      <c r="G31" s="4">
        <f>D31*G32</f>
        <v>0</v>
      </c>
      <c r="H31" s="8">
        <f>E31+F31+G31</f>
        <v>0</v>
      </c>
    </row>
    <row r="32" spans="1:8" x14ac:dyDescent="0.25">
      <c r="A32" s="240"/>
      <c r="B32" s="243"/>
      <c r="C32" s="244"/>
      <c r="D32" s="246"/>
      <c r="E32" s="6">
        <v>0</v>
      </c>
      <c r="F32" s="6">
        <v>0.2</v>
      </c>
      <c r="G32" s="6">
        <v>0.8</v>
      </c>
      <c r="H32" s="9">
        <f t="shared" si="2"/>
        <v>1</v>
      </c>
    </row>
    <row r="33" spans="1:8" x14ac:dyDescent="0.25">
      <c r="A33" s="239">
        <v>7</v>
      </c>
      <c r="B33" s="241" t="s">
        <v>84</v>
      </c>
      <c r="C33" s="242"/>
      <c r="D33" s="245">
        <f>'SPDA - MINFRA '!H79*0.15</f>
        <v>0</v>
      </c>
      <c r="E33" s="4">
        <f t="shared" ref="E33" si="11">D33*E34</f>
        <v>0</v>
      </c>
      <c r="F33" s="4">
        <f t="shared" ref="F33" si="12">D33*F34</f>
        <v>0</v>
      </c>
      <c r="G33" s="4">
        <f>D33*G34</f>
        <v>0</v>
      </c>
      <c r="H33" s="8">
        <f>E33+F33+G33</f>
        <v>0</v>
      </c>
    </row>
    <row r="34" spans="1:8" ht="15.75" thickBot="1" x14ac:dyDescent="0.3">
      <c r="A34" s="240"/>
      <c r="B34" s="243"/>
      <c r="C34" s="244"/>
      <c r="D34" s="246"/>
      <c r="E34" s="6">
        <v>0.25</v>
      </c>
      <c r="F34" s="6">
        <v>0.35</v>
      </c>
      <c r="G34" s="6">
        <v>0.4</v>
      </c>
      <c r="H34" s="9">
        <f t="shared" si="2"/>
        <v>1</v>
      </c>
    </row>
    <row r="35" spans="1:8" ht="15.75" thickBot="1" x14ac:dyDescent="0.3">
      <c r="A35" s="247" t="s">
        <v>68</v>
      </c>
      <c r="B35" s="248"/>
      <c r="C35" s="249"/>
      <c r="D35" s="181"/>
      <c r="E35" s="182">
        <f>E21+E23+E25+E27+E29+E31+E33</f>
        <v>0</v>
      </c>
      <c r="F35" s="182">
        <f>F21+F23+F25+F27+F29+F31+F33</f>
        <v>0</v>
      </c>
      <c r="G35" s="182">
        <f>G21+G23+G25+G27+G29+G31+G33</f>
        <v>0</v>
      </c>
      <c r="H35" s="183">
        <f>E35+F35+G35</f>
        <v>0</v>
      </c>
    </row>
    <row r="36" spans="1:8" ht="15.75" thickBot="1" x14ac:dyDescent="0.3">
      <c r="A36" s="250" t="s">
        <v>78</v>
      </c>
      <c r="B36" s="251"/>
      <c r="C36" s="252"/>
      <c r="D36" s="184"/>
      <c r="E36" s="182">
        <f>E35*0.2579</f>
        <v>0</v>
      </c>
      <c r="F36" s="182">
        <f>F35*0.2579</f>
        <v>0</v>
      </c>
      <c r="G36" s="182">
        <f>G35*0.2579</f>
        <v>0</v>
      </c>
      <c r="H36" s="183">
        <f t="shared" ref="H36:H37" si="13">E36+F36+G36</f>
        <v>0</v>
      </c>
    </row>
    <row r="37" spans="1:8" ht="15.75" thickBot="1" x14ac:dyDescent="0.3">
      <c r="A37" s="247" t="s">
        <v>69</v>
      </c>
      <c r="B37" s="248"/>
      <c r="C37" s="249"/>
      <c r="D37" s="181"/>
      <c r="E37" s="182">
        <f>E35+E36</f>
        <v>0</v>
      </c>
      <c r="F37" s="182">
        <f t="shared" ref="F37:G37" si="14">F35+F36</f>
        <v>0</v>
      </c>
      <c r="G37" s="182">
        <f t="shared" si="14"/>
        <v>0</v>
      </c>
      <c r="H37" s="183">
        <f t="shared" si="13"/>
        <v>0</v>
      </c>
    </row>
  </sheetData>
  <mergeCells count="46">
    <mergeCell ref="A18:H18"/>
    <mergeCell ref="A16:H17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  <mergeCell ref="E19:G19"/>
    <mergeCell ref="H19:H20"/>
    <mergeCell ref="A23:A24"/>
    <mergeCell ref="B23:C24"/>
    <mergeCell ref="D23:D24"/>
    <mergeCell ref="A21:A22"/>
    <mergeCell ref="B21:C22"/>
    <mergeCell ref="D21:D22"/>
    <mergeCell ref="A19:A20"/>
    <mergeCell ref="B19:C20"/>
    <mergeCell ref="D19:D20"/>
    <mergeCell ref="A25:A26"/>
    <mergeCell ref="B25:C26"/>
    <mergeCell ref="D25:D26"/>
    <mergeCell ref="A27:A28"/>
    <mergeCell ref="B27:C28"/>
    <mergeCell ref="D27:D28"/>
    <mergeCell ref="A29:A30"/>
    <mergeCell ref="B29:C30"/>
    <mergeCell ref="D29:D30"/>
    <mergeCell ref="A37:C37"/>
    <mergeCell ref="A31:A32"/>
    <mergeCell ref="B31:C32"/>
    <mergeCell ref="D31:D32"/>
    <mergeCell ref="A33:A34"/>
    <mergeCell ref="B33:C34"/>
    <mergeCell ref="D33:D34"/>
    <mergeCell ref="A35:C35"/>
    <mergeCell ref="A36:C3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DE9A-0735-410C-BE05-CAE1146FD711}">
  <dimension ref="A1:J53"/>
  <sheetViews>
    <sheetView showGridLines="0" view="pageBreakPreview" zoomScaleNormal="100" zoomScaleSheetLayoutView="100" workbookViewId="0">
      <selection activeCell="D25" sqref="D25"/>
    </sheetView>
  </sheetViews>
  <sheetFormatPr defaultRowHeight="15" x14ac:dyDescent="0.25"/>
  <cols>
    <col min="1" max="1" width="13.85546875" style="274" customWidth="1"/>
    <col min="2" max="2" width="59.5703125" style="275" customWidth="1"/>
    <col min="3" max="3" width="14.85546875" style="274" customWidth="1"/>
    <col min="4" max="4" width="14.85546875" style="273" customWidth="1"/>
    <col min="5" max="5" width="7.85546875" style="273" bestFit="1" customWidth="1"/>
    <col min="6" max="6" width="130.140625" style="273" customWidth="1"/>
    <col min="7" max="7" width="9.140625" style="273"/>
    <col min="8" max="8" width="9.140625" style="273" customWidth="1"/>
    <col min="9" max="16384" width="9.140625" style="273"/>
  </cols>
  <sheetData>
    <row r="1" spans="1:10" ht="92.25" customHeight="1" x14ac:dyDescent="0.25"/>
    <row r="2" spans="1:10" ht="15" customHeight="1" x14ac:dyDescent="0.25">
      <c r="A2" s="331" t="s">
        <v>86</v>
      </c>
      <c r="B2" s="331"/>
      <c r="C2" s="331"/>
      <c r="D2" s="332"/>
      <c r="E2" s="330"/>
      <c r="F2" s="330"/>
      <c r="G2" s="330"/>
      <c r="H2" s="330"/>
      <c r="I2" s="330"/>
    </row>
    <row r="3" spans="1:10" ht="15" customHeight="1" x14ac:dyDescent="0.25">
      <c r="A3" s="331" t="s">
        <v>87</v>
      </c>
      <c r="B3" s="331"/>
      <c r="C3" s="331"/>
      <c r="D3" s="330"/>
      <c r="E3" s="330"/>
      <c r="F3" s="330"/>
      <c r="G3" s="330"/>
      <c r="H3" s="330"/>
      <c r="I3" s="330"/>
      <c r="J3" s="330"/>
    </row>
    <row r="4" spans="1:10" ht="15" customHeight="1" x14ac:dyDescent="0.25">
      <c r="A4" s="331" t="s">
        <v>88</v>
      </c>
      <c r="B4" s="331"/>
      <c r="C4" s="331"/>
      <c r="D4" s="330"/>
      <c r="E4" s="330"/>
      <c r="F4" s="330"/>
      <c r="G4" s="330"/>
      <c r="H4" s="330"/>
      <c r="I4" s="330"/>
      <c r="J4" s="330"/>
    </row>
    <row r="5" spans="1:10" ht="15" customHeight="1" x14ac:dyDescent="0.25">
      <c r="A5" s="328" t="s">
        <v>89</v>
      </c>
      <c r="B5" s="328"/>
      <c r="C5" s="328"/>
      <c r="D5" s="326"/>
      <c r="E5" s="326"/>
      <c r="F5" s="326"/>
      <c r="G5" s="326"/>
      <c r="H5" s="326"/>
      <c r="I5" s="326"/>
      <c r="J5" s="326"/>
    </row>
    <row r="6" spans="1:10" ht="15" customHeight="1" x14ac:dyDescent="0.25">
      <c r="A6" s="329" t="s">
        <v>235</v>
      </c>
      <c r="B6" s="329"/>
      <c r="C6" s="329"/>
      <c r="D6" s="326"/>
      <c r="E6" s="326"/>
      <c r="F6" s="326"/>
      <c r="G6" s="326"/>
      <c r="H6" s="326"/>
      <c r="I6" s="326"/>
      <c r="J6" s="326"/>
    </row>
    <row r="7" spans="1:10" x14ac:dyDescent="0.25">
      <c r="A7" s="328" t="s">
        <v>234</v>
      </c>
      <c r="B7" s="328"/>
      <c r="C7" s="328"/>
      <c r="D7" s="326"/>
      <c r="E7" s="326"/>
      <c r="F7" s="326"/>
      <c r="G7" s="326"/>
      <c r="H7" s="326"/>
      <c r="I7" s="326"/>
      <c r="J7" s="326"/>
    </row>
    <row r="8" spans="1:10" x14ac:dyDescent="0.25">
      <c r="A8" s="328" t="s">
        <v>233</v>
      </c>
      <c r="B8" s="328"/>
      <c r="C8" s="328"/>
      <c r="D8" s="326"/>
      <c r="E8" s="326"/>
      <c r="F8" s="326"/>
      <c r="G8" s="326"/>
      <c r="H8" s="326"/>
      <c r="I8" s="326"/>
      <c r="J8" s="326"/>
    </row>
    <row r="9" spans="1:10" x14ac:dyDescent="0.25">
      <c r="A9" s="327"/>
      <c r="B9" s="327"/>
      <c r="C9" s="327"/>
      <c r="D9" s="326"/>
      <c r="E9" s="326"/>
      <c r="F9" s="326"/>
      <c r="G9" s="326"/>
      <c r="H9" s="326"/>
      <c r="I9" s="326"/>
      <c r="J9" s="326"/>
    </row>
    <row r="10" spans="1:10" x14ac:dyDescent="0.25">
      <c r="A10" s="325" t="s">
        <v>232</v>
      </c>
      <c r="B10" s="325"/>
      <c r="C10" s="325"/>
      <c r="D10" s="279"/>
      <c r="E10" s="324"/>
      <c r="F10" s="324"/>
      <c r="G10" s="324"/>
      <c r="H10" s="324"/>
      <c r="I10" s="324"/>
    </row>
    <row r="11" spans="1:10" x14ac:dyDescent="0.25">
      <c r="A11" s="279"/>
      <c r="B11" s="279"/>
      <c r="C11" s="279"/>
      <c r="D11" s="279"/>
      <c r="E11" s="324"/>
      <c r="F11" s="324"/>
      <c r="G11" s="324"/>
      <c r="H11" s="324"/>
      <c r="I11" s="324"/>
    </row>
    <row r="12" spans="1:10" x14ac:dyDescent="0.25">
      <c r="A12" s="325" t="s">
        <v>231</v>
      </c>
      <c r="B12" s="325"/>
      <c r="C12" s="325"/>
      <c r="D12" s="279"/>
      <c r="E12" s="324"/>
      <c r="F12" s="324"/>
      <c r="G12" s="324"/>
      <c r="H12" s="324"/>
      <c r="I12" s="324"/>
    </row>
    <row r="13" spans="1:10" x14ac:dyDescent="0.25">
      <c r="A13" s="279"/>
      <c r="B13" s="279"/>
      <c r="C13" s="279"/>
      <c r="D13" s="279"/>
      <c r="E13" s="279"/>
      <c r="F13" s="324"/>
      <c r="G13" s="324"/>
      <c r="H13" s="324"/>
      <c r="I13" s="324"/>
    </row>
    <row r="14" spans="1:10" ht="23.25" customHeight="1" x14ac:dyDescent="0.25">
      <c r="A14" s="323" t="s">
        <v>230</v>
      </c>
      <c r="B14" s="322" t="s">
        <v>229</v>
      </c>
      <c r="C14" s="322"/>
      <c r="D14" s="321"/>
      <c r="E14" s="321"/>
      <c r="F14" s="274"/>
      <c r="G14" s="315"/>
      <c r="H14" s="315"/>
      <c r="I14" s="315"/>
    </row>
    <row r="15" spans="1:10" ht="33" customHeight="1" x14ac:dyDescent="0.25">
      <c r="A15" s="274" t="s">
        <v>228</v>
      </c>
      <c r="B15" s="320" t="s">
        <v>227</v>
      </c>
      <c r="C15" s="319"/>
      <c r="D15" s="318"/>
      <c r="E15" s="274"/>
      <c r="F15" s="274"/>
      <c r="G15" s="315"/>
      <c r="H15" s="315"/>
      <c r="I15" s="315"/>
    </row>
    <row r="16" spans="1:10" x14ac:dyDescent="0.25">
      <c r="A16" s="317"/>
      <c r="B16" s="317"/>
      <c r="C16" s="317"/>
      <c r="D16" s="316"/>
      <c r="E16" s="274"/>
      <c r="F16" s="274"/>
      <c r="G16" s="315"/>
      <c r="H16" s="315"/>
      <c r="I16" s="315"/>
    </row>
    <row r="17" spans="1:4" ht="15.75" thickBot="1" x14ac:dyDescent="0.3">
      <c r="A17" s="286"/>
      <c r="B17" s="284"/>
      <c r="C17" s="286"/>
      <c r="D17" s="285"/>
    </row>
    <row r="18" spans="1:4" ht="15.75" thickBot="1" x14ac:dyDescent="0.3">
      <c r="A18" s="297" t="s">
        <v>12</v>
      </c>
      <c r="B18" s="314" t="s">
        <v>13</v>
      </c>
      <c r="C18" s="313" t="s">
        <v>226</v>
      </c>
      <c r="D18" s="312"/>
    </row>
    <row r="19" spans="1:4" x14ac:dyDescent="0.25">
      <c r="A19" s="311" t="s">
        <v>99</v>
      </c>
      <c r="B19" s="310" t="s">
        <v>225</v>
      </c>
      <c r="C19" s="309"/>
      <c r="D19" s="305"/>
    </row>
    <row r="20" spans="1:4" x14ac:dyDescent="0.25">
      <c r="A20" s="304" t="s">
        <v>100</v>
      </c>
      <c r="B20" s="303" t="s">
        <v>224</v>
      </c>
      <c r="C20" s="302">
        <v>5.1000000000000004E-3</v>
      </c>
      <c r="D20" s="298"/>
    </row>
    <row r="21" spans="1:4" x14ac:dyDescent="0.25">
      <c r="A21" s="304" t="s">
        <v>101</v>
      </c>
      <c r="B21" s="303" t="s">
        <v>223</v>
      </c>
      <c r="C21" s="302">
        <v>1.4800000000000001E-2</v>
      </c>
      <c r="D21" s="298"/>
    </row>
    <row r="22" spans="1:4" x14ac:dyDescent="0.25">
      <c r="A22" s="304" t="s">
        <v>102</v>
      </c>
      <c r="B22" s="303" t="s">
        <v>222</v>
      </c>
      <c r="C22" s="302">
        <v>1.0699999999999999E-2</v>
      </c>
      <c r="D22" s="298"/>
    </row>
    <row r="23" spans="1:4" x14ac:dyDescent="0.25">
      <c r="A23" s="304" t="s">
        <v>221</v>
      </c>
      <c r="B23" s="303" t="s">
        <v>220</v>
      </c>
      <c r="C23" s="302">
        <v>5.9200000000000003E-2</v>
      </c>
      <c r="D23" s="298"/>
    </row>
    <row r="24" spans="1:4" x14ac:dyDescent="0.25">
      <c r="A24" s="304"/>
      <c r="B24" s="303"/>
      <c r="C24" s="302"/>
      <c r="D24" s="298"/>
    </row>
    <row r="25" spans="1:4" x14ac:dyDescent="0.25">
      <c r="A25" s="308" t="s">
        <v>111</v>
      </c>
      <c r="B25" s="307" t="s">
        <v>219</v>
      </c>
      <c r="C25" s="306"/>
      <c r="D25" s="305"/>
    </row>
    <row r="26" spans="1:4" ht="30" x14ac:dyDescent="0.25">
      <c r="A26" s="304" t="s">
        <v>112</v>
      </c>
      <c r="B26" s="303" t="s">
        <v>218</v>
      </c>
      <c r="C26" s="302">
        <v>0.03</v>
      </c>
      <c r="D26" s="298"/>
    </row>
    <row r="27" spans="1:4" x14ac:dyDescent="0.25">
      <c r="A27" s="304" t="s">
        <v>115</v>
      </c>
      <c r="B27" s="303" t="s">
        <v>217</v>
      </c>
      <c r="C27" s="302">
        <v>6.4999999999999997E-3</v>
      </c>
      <c r="D27" s="298"/>
    </row>
    <row r="28" spans="1:4" x14ac:dyDescent="0.25">
      <c r="A28" s="304" t="s">
        <v>116</v>
      </c>
      <c r="B28" s="303" t="s">
        <v>216</v>
      </c>
      <c r="C28" s="302">
        <v>0.02</v>
      </c>
      <c r="D28" s="298"/>
    </row>
    <row r="29" spans="1:4" x14ac:dyDescent="0.25">
      <c r="A29" s="304"/>
      <c r="B29" s="303"/>
      <c r="C29" s="302"/>
      <c r="D29" s="298">
        <f>C28+C27+C26</f>
        <v>5.6499999999999995E-2</v>
      </c>
    </row>
    <row r="30" spans="1:4" x14ac:dyDescent="0.25">
      <c r="A30" s="308" t="s">
        <v>155</v>
      </c>
      <c r="B30" s="307" t="s">
        <v>215</v>
      </c>
      <c r="C30" s="306"/>
      <c r="D30" s="305"/>
    </row>
    <row r="31" spans="1:4" x14ac:dyDescent="0.25">
      <c r="A31" s="304" t="s">
        <v>122</v>
      </c>
      <c r="B31" s="303" t="s">
        <v>214</v>
      </c>
      <c r="C31" s="302">
        <v>8.3099999999999993E-2</v>
      </c>
      <c r="D31" s="298"/>
    </row>
    <row r="32" spans="1:4" ht="15.75" thickBot="1" x14ac:dyDescent="0.3">
      <c r="A32" s="301"/>
      <c r="B32" s="300"/>
      <c r="C32" s="299"/>
      <c r="D32" s="298"/>
    </row>
    <row r="33" spans="1:5" ht="15.75" thickBot="1" x14ac:dyDescent="0.3">
      <c r="A33" s="297" t="s">
        <v>129</v>
      </c>
      <c r="B33" s="296" t="s">
        <v>213</v>
      </c>
      <c r="C33" s="295">
        <v>0.25790000000000002</v>
      </c>
      <c r="D33" s="294"/>
      <c r="E33" s="293">
        <f>(((1+C23+C20+C21+C20)*(1+C22)*(1+C31))/(1-D29))-1</f>
        <v>0.25793534511287741</v>
      </c>
    </row>
    <row r="34" spans="1:5" x14ac:dyDescent="0.25">
      <c r="A34" s="286"/>
      <c r="B34" s="284"/>
      <c r="C34" s="286"/>
      <c r="D34" s="285"/>
      <c r="E34" s="285"/>
    </row>
    <row r="35" spans="1:5" x14ac:dyDescent="0.25">
      <c r="A35" s="292" t="s">
        <v>212</v>
      </c>
      <c r="B35" s="292"/>
      <c r="C35" s="292"/>
      <c r="D35" s="291"/>
      <c r="E35" s="290"/>
    </row>
    <row r="36" spans="1:5" x14ac:dyDescent="0.25">
      <c r="A36" s="286"/>
      <c r="B36" s="284"/>
      <c r="C36" s="286"/>
      <c r="D36" s="285"/>
      <c r="E36" s="285"/>
    </row>
    <row r="37" spans="1:5" x14ac:dyDescent="0.25">
      <c r="A37" s="286"/>
      <c r="B37" s="289"/>
      <c r="C37" s="286"/>
      <c r="D37" s="285"/>
      <c r="E37" s="285"/>
    </row>
    <row r="38" spans="1:5" x14ac:dyDescent="0.25">
      <c r="A38" s="286"/>
      <c r="B38" s="284"/>
      <c r="C38" s="288" t="s">
        <v>211</v>
      </c>
      <c r="D38" s="287"/>
      <c r="E38" s="285"/>
    </row>
    <row r="39" spans="1:5" x14ac:dyDescent="0.25">
      <c r="B39" s="284" t="s">
        <v>210</v>
      </c>
      <c r="C39" s="286"/>
      <c r="D39" s="285"/>
      <c r="E39" s="285"/>
    </row>
    <row r="40" spans="1:5" x14ac:dyDescent="0.25">
      <c r="B40" s="284" t="s">
        <v>209</v>
      </c>
      <c r="C40" s="286"/>
      <c r="D40" s="285"/>
      <c r="E40" s="285"/>
    </row>
    <row r="41" spans="1:5" x14ac:dyDescent="0.25">
      <c r="B41" s="284" t="s">
        <v>208</v>
      </c>
      <c r="C41" s="286"/>
      <c r="D41" s="285"/>
      <c r="E41" s="285"/>
    </row>
    <row r="42" spans="1:5" x14ac:dyDescent="0.25">
      <c r="B42" s="284" t="s">
        <v>207</v>
      </c>
      <c r="C42" s="286"/>
      <c r="D42" s="285"/>
      <c r="E42" s="285"/>
    </row>
    <row r="43" spans="1:5" x14ac:dyDescent="0.25">
      <c r="B43" s="284" t="s">
        <v>206</v>
      </c>
      <c r="C43" s="286"/>
      <c r="D43" s="285"/>
      <c r="E43" s="285"/>
    </row>
    <row r="44" spans="1:5" x14ac:dyDescent="0.25">
      <c r="B44" s="284" t="s">
        <v>205</v>
      </c>
      <c r="C44" s="286"/>
      <c r="D44" s="285"/>
      <c r="E44" s="285"/>
    </row>
    <row r="45" spans="1:5" x14ac:dyDescent="0.25">
      <c r="B45" s="284" t="s">
        <v>204</v>
      </c>
      <c r="C45" s="283"/>
      <c r="D45" s="282"/>
      <c r="E45" s="282"/>
    </row>
    <row r="47" spans="1:5" x14ac:dyDescent="0.25">
      <c r="B47" s="281" t="s">
        <v>203</v>
      </c>
      <c r="C47" s="281"/>
    </row>
    <row r="48" spans="1:5" x14ac:dyDescent="0.25">
      <c r="B48" s="280"/>
      <c r="D48" s="278"/>
    </row>
    <row r="49" spans="2:4" x14ac:dyDescent="0.25">
      <c r="B49" s="274"/>
      <c r="D49" s="278"/>
    </row>
    <row r="50" spans="2:4" x14ac:dyDescent="0.25">
      <c r="B50" s="279" t="s">
        <v>202</v>
      </c>
      <c r="D50" s="278"/>
    </row>
    <row r="51" spans="2:4" x14ac:dyDescent="0.25">
      <c r="B51" s="274"/>
      <c r="D51" s="277"/>
    </row>
    <row r="53" spans="2:4" x14ac:dyDescent="0.25">
      <c r="B53" s="276"/>
    </row>
  </sheetData>
  <mergeCells count="14">
    <mergeCell ref="A2:C2"/>
    <mergeCell ref="A3:C3"/>
    <mergeCell ref="A4:C4"/>
    <mergeCell ref="A5:C5"/>
    <mergeCell ref="A6:C6"/>
    <mergeCell ref="A7:C7"/>
    <mergeCell ref="A35:C35"/>
    <mergeCell ref="B47:C47"/>
    <mergeCell ref="A8:C8"/>
    <mergeCell ref="A10:C10"/>
    <mergeCell ref="A12:C12"/>
    <mergeCell ref="B14:C14"/>
    <mergeCell ref="B15:C15"/>
    <mergeCell ref="A16:C16"/>
  </mergeCells>
  <printOptions horizontalCentered="1"/>
  <pageMargins left="0.25" right="0.25" top="0.75" bottom="0.75" header="0.3" footer="0.3"/>
  <pageSetup paperSize="9" scale="80" orientation="portrait" r:id="rId1"/>
  <headerFooter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9CFE-9579-4C5A-87BA-FA611C712FF6}">
  <dimension ref="A1:B12"/>
  <sheetViews>
    <sheetView workbookViewId="0">
      <selection activeCell="A6" sqref="A6"/>
    </sheetView>
  </sheetViews>
  <sheetFormatPr defaultRowHeight="15" x14ac:dyDescent="0.25"/>
  <cols>
    <col min="1" max="1" width="12.5703125" bestFit="1" customWidth="1"/>
  </cols>
  <sheetData>
    <row r="1" spans="1:2" x14ac:dyDescent="0.25">
      <c r="A1" t="s">
        <v>1</v>
      </c>
      <c r="B1" t="s">
        <v>4</v>
      </c>
    </row>
    <row r="2" spans="1:2" x14ac:dyDescent="0.25">
      <c r="A2" t="s">
        <v>2</v>
      </c>
      <c r="B2" t="s">
        <v>5</v>
      </c>
    </row>
    <row r="3" spans="1:2" x14ac:dyDescent="0.25">
      <c r="A3" t="s">
        <v>73</v>
      </c>
    </row>
    <row r="4" spans="1:2" x14ac:dyDescent="0.25">
      <c r="A4" t="s">
        <v>77</v>
      </c>
    </row>
    <row r="5" spans="1:2" x14ac:dyDescent="0.25">
      <c r="A5" t="s">
        <v>184</v>
      </c>
      <c r="B5" t="s">
        <v>6</v>
      </c>
    </row>
    <row r="6" spans="1:2" x14ac:dyDescent="0.25">
      <c r="B6" t="s">
        <v>7</v>
      </c>
    </row>
    <row r="7" spans="1:2" x14ac:dyDescent="0.25">
      <c r="B7" t="s">
        <v>8</v>
      </c>
    </row>
    <row r="8" spans="1:2" x14ac:dyDescent="0.25">
      <c r="B8" t="s">
        <v>9</v>
      </c>
    </row>
    <row r="9" spans="1:2" ht="17.25" x14ac:dyDescent="0.25">
      <c r="B9" t="s">
        <v>10</v>
      </c>
    </row>
    <row r="10" spans="1:2" x14ac:dyDescent="0.25">
      <c r="B10" t="s">
        <v>11</v>
      </c>
    </row>
    <row r="11" spans="1:2" x14ac:dyDescent="0.25">
      <c r="B11" t="s">
        <v>21</v>
      </c>
    </row>
    <row r="12" spans="1:2" x14ac:dyDescent="0.25">
      <c r="B12" t="s">
        <v>75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W X A 0 U m F 5 0 g u n A A A A + A A A A B I A H A B D b 2 5 m a W c v U G F j a 2 F n Z S 5 4 b W w g o h g A K K A U A A A A A A A A A A A A A A A A A A A A A A A A A A A A h Y / B C o I w H I d f R X Z 3 m 2 Y o 8 n d C X R O i I L q O t X S k U 9 x s v l u H H q l X S C i r W 8 f f x 3 f 4 f o / b H f K x q b 2 r 7 I 1 q d Y Y C T J E n t W h P S p c Z G u z Z T 1 D O Y M v F h Z f S m 2 R t 0 t G c M l R Z 2 6 W E O O e w W + C 2 L 0 l I a U C O x W Y v K t l w 9 J H V f 9 l X 2 l i u h U Q M D q 8 Y F u I 4 w c s 4 o j h K A i A z h k L p r x J O x Z g C + Y G w H m o 7 9 J J 1 1 l / t g M w T y P s F e w J Q S w M E F A A C A A g A W X A 0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l w N F I o i k e 4 D g A A A B E A A A A T A B w A R m 9 y b X V s Y X M v U 2 V j d G l v b j E u b S C i G A A o o B Q A A A A A A A A A A A A A A A A A A A A A A A A A A A A r T k 0 u y c z P U w i G 0 I b W A F B L A Q I t A B Q A A g A I A F l w N F J h e d I L p w A A A P g A A A A S A A A A A A A A A A A A A A A A A A A A A A B D b 2 5 m a W c v U G F j a 2 F n Z S 5 4 b W x Q S w E C L Q A U A A I A C A B Z c D R S D 8 r p q 6 Q A A A D p A A A A E w A A A A A A A A A A A A A A A A D z A A A A W 0 N v b n R l b n R f V H l w Z X N d L n h t b F B L A Q I t A B Q A A g A I A F l w N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L f C Z F P M N R b 7 k b t m l d g 1 9 A A A A A A I A A A A A A A N m A A D A A A A A E A A A A P r N t P l 8 D P 6 h o F Y f 4 1 W h O B E A A A A A B I A A A K A A A A A Q A A A A L Z j w K N s V v t 5 t p 6 B 5 W d U 0 a F A A A A B Q Y P + v a n p 5 K 2 9 N x I e T S r 5 0 / p f V G W e w 7 s W O y t 9 S p i i N X P 8 w 7 Y V t 5 j k l y 5 o 8 B V 5 J / 1 b m x 1 Y x S D o R q t C G V 3 K r S v M h / b Y U V G n G h y D 9 4 q 3 w Q z 0 N M x Q A A A A e 2 g P i e I X 1 i L q 4 o p Y U C p + I x Z k l O g = = < / D a t a M a s h u p > 
</file>

<file path=customXml/itemProps1.xml><?xml version="1.0" encoding="utf-8"?>
<ds:datastoreItem xmlns:ds="http://schemas.openxmlformats.org/officeDocument/2006/customXml" ds:itemID="{5EB58FFC-02E0-454A-A2E6-A430FC6CD5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SPDA - MINFRA </vt:lpstr>
      <vt:lpstr>SPDA - CURVA ABC</vt:lpstr>
      <vt:lpstr>SPDA - MINFRA - ABC</vt:lpstr>
      <vt:lpstr>CRONOGRAMA</vt:lpstr>
      <vt:lpstr> BDI </vt:lpstr>
      <vt:lpstr>planilha suporte</vt:lpstr>
      <vt:lpstr>' BDI '!Area_de_impressao</vt:lpstr>
      <vt:lpstr>'SPDA - CURVA ABC'!Area_de_impressao</vt:lpstr>
      <vt:lpstr>'SPDA - MINFRA '!Area_de_impressao</vt:lpstr>
      <vt:lpstr>'SPDA - MINFRA - ABC'!Area_de_impressao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2022-01-17T19:13:05Z</dcterms:modified>
</cp:coreProperties>
</file>