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updateLinks="never"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00524311188.PGFN-RLSL\Downloads\"/>
    </mc:Choice>
  </mc:AlternateContent>
  <xr:revisionPtr revIDLastSave="0" documentId="13_ncr:1_{828326EE-87A9-4602-9736-E5D2869E3504}" xr6:coauthVersionLast="47" xr6:coauthVersionMax="47" xr10:uidLastSave="{00000000-0000-0000-0000-000000000000}"/>
  <workbookProtection workbookAlgorithmName="SHA-512" workbookHashValue="9ChongWC5O31Yt9r21nmV4BlLoYzBSPc3CuyDLO4HInpUhv4NQw0GdPVspStLOfuLEWlXIYm3LMwk5s1y1narA==" workbookSaltValue="KY4nMH11BOV/eqCHbH49TA==" workbookSpinCount="100000" lockStructure="1"/>
  <bookViews>
    <workbookView xWindow="28680" yWindow="-120" windowWidth="29040" windowHeight="16440" xr2:uid="{18BBEDF9-CC7B-4829-B3F1-7A9CE63E3A08}"/>
  </bookViews>
  <sheets>
    <sheet name="CAPACIDADE DE PAGAMENTO" sheetId="3" r:id="rId1"/>
    <sheet name="VALOR NEGOCIADO" sheetId="2" r:id="rId2"/>
    <sheet name="CÁLCULO" sheetId="1" r:id="rId3"/>
  </sheets>
  <externalReferences>
    <externalReference r:id="rId4"/>
    <externalReference r:id="rId5"/>
  </externalReferences>
  <definedNames>
    <definedName name="Modalidades">CÁLCULO!$A$6:$A$12</definedName>
    <definedName name="Natureza_Juridica">[1]SIMULAÇÃO!$A$54:$A$57</definedName>
    <definedName name="Parcelas_Pedágio">CÁLCULO!$A$13:$A$25</definedName>
    <definedName name="Personalidade">CÁLCULO!$A$79:$A$82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" i="2" l="1"/>
  <c r="D1" i="2"/>
  <c r="E1" i="2"/>
  <c r="F1" i="2"/>
  <c r="C1" i="2"/>
  <c r="G5" i="2"/>
  <c r="I8" i="3" s="1"/>
  <c r="G1" i="2" l="1"/>
  <c r="A61" i="3"/>
  <c r="I8" i="1" l="1"/>
  <c r="I9" i="1"/>
  <c r="A6" i="3" l="1"/>
  <c r="F3" i="1" s="1"/>
  <c r="A3" i="1" s="1"/>
  <c r="A7" i="1" l="1"/>
  <c r="A20" i="1"/>
  <c r="A18" i="1" s="1"/>
  <c r="A23" i="1"/>
  <c r="A22" i="1"/>
  <c r="A21" i="1"/>
  <c r="A25" i="1"/>
  <c r="A24" i="1"/>
  <c r="B18" i="1" l="1"/>
  <c r="A5" i="1" l="1"/>
  <c r="A16" i="1"/>
  <c r="J42" i="3"/>
  <c r="J44" i="3" s="1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5" i="3"/>
  <c r="A2" i="1" l="1"/>
  <c r="A1" i="1" s="1"/>
  <c r="B10" i="3"/>
  <c r="I32" i="3" s="1"/>
  <c r="B9" i="3"/>
  <c r="A13" i="3" l="1"/>
  <c r="A12" i="3"/>
  <c r="A25" i="3"/>
  <c r="A24" i="3"/>
  <c r="I33" i="3"/>
  <c r="I29" i="3"/>
  <c r="I19" i="3"/>
  <c r="I21" i="3"/>
  <c r="I35" i="3"/>
  <c r="I18" i="3"/>
  <c r="I31" i="3"/>
  <c r="I27" i="3"/>
  <c r="I23" i="3"/>
  <c r="I20" i="3"/>
  <c r="I22" i="3"/>
  <c r="I30" i="3"/>
  <c r="I34" i="3"/>
  <c r="I12" i="3"/>
  <c r="I24" i="3"/>
  <c r="I15" i="3"/>
  <c r="I16" i="3"/>
  <c r="I14" i="3"/>
  <c r="I17" i="3"/>
  <c r="I28" i="3"/>
  <c r="I13" i="3"/>
  <c r="I26" i="3"/>
  <c r="I25" i="3"/>
  <c r="L3" i="3" l="1"/>
  <c r="J39" i="3"/>
  <c r="J38" i="3"/>
  <c r="J40" i="3" s="1"/>
  <c r="J41" i="3" l="1"/>
  <c r="J43" i="3" s="1"/>
  <c r="J45" i="3" s="1"/>
  <c r="G47" i="3" s="1"/>
  <c r="A42" i="3" l="1"/>
  <c r="I11" i="1" s="1"/>
  <c r="J5" i="2"/>
  <c r="J1" i="2" s="1"/>
  <c r="K5" i="2"/>
  <c r="J6" i="2"/>
  <c r="K6" i="2"/>
  <c r="Q6" i="2" s="1"/>
  <c r="J7" i="2"/>
  <c r="K7" i="2"/>
  <c r="Q7" i="2" s="1"/>
  <c r="J8" i="2"/>
  <c r="K8" i="2"/>
  <c r="Q8" i="2" s="1"/>
  <c r="J9" i="2"/>
  <c r="K9" i="2"/>
  <c r="Q9" i="2" s="1"/>
  <c r="J10" i="2"/>
  <c r="K10" i="2"/>
  <c r="Q10" i="2" s="1"/>
  <c r="J11" i="2"/>
  <c r="K11" i="2"/>
  <c r="Q11" i="2" s="1"/>
  <c r="J12" i="2"/>
  <c r="K12" i="2"/>
  <c r="Q12" i="2" s="1"/>
  <c r="J13" i="2"/>
  <c r="K13" i="2"/>
  <c r="Q13" i="2" s="1"/>
  <c r="J14" i="2"/>
  <c r="K14" i="2"/>
  <c r="Q14" i="2" s="1"/>
  <c r="J15" i="2"/>
  <c r="K15" i="2"/>
  <c r="Q15" i="2" s="1"/>
  <c r="L5" i="2"/>
  <c r="M5" i="2"/>
  <c r="K22" i="1"/>
  <c r="K23" i="1" s="1"/>
  <c r="M22" i="1"/>
  <c r="M23" i="1" s="1"/>
  <c r="O22" i="1"/>
  <c r="O23" i="1" s="1"/>
  <c r="W1" i="2"/>
  <c r="M6" i="2"/>
  <c r="S6" i="2" s="1"/>
  <c r="M7" i="2"/>
  <c r="S7" i="2" s="1"/>
  <c r="M8" i="2"/>
  <c r="S8" i="2" s="1"/>
  <c r="M9" i="2"/>
  <c r="S9" i="2" s="1"/>
  <c r="M10" i="2"/>
  <c r="S10" i="2" s="1"/>
  <c r="M11" i="2"/>
  <c r="S11" i="2" s="1"/>
  <c r="M12" i="2"/>
  <c r="S12" i="2" s="1"/>
  <c r="M13" i="2"/>
  <c r="S13" i="2" s="1"/>
  <c r="M14" i="2"/>
  <c r="S14" i="2" s="1"/>
  <c r="M15" i="2"/>
  <c r="S15" i="2" s="1"/>
  <c r="L6" i="2"/>
  <c r="R6" i="2" s="1"/>
  <c r="L7" i="2"/>
  <c r="R7" i="2" s="1"/>
  <c r="L8" i="2"/>
  <c r="R8" i="2" s="1"/>
  <c r="L9" i="2"/>
  <c r="R9" i="2" s="1"/>
  <c r="L10" i="2"/>
  <c r="R10" i="2" s="1"/>
  <c r="L11" i="2"/>
  <c r="R11" i="2" s="1"/>
  <c r="L12" i="2"/>
  <c r="R12" i="2" s="1"/>
  <c r="L13" i="2"/>
  <c r="R13" i="2" s="1"/>
  <c r="L14" i="2"/>
  <c r="R14" i="2" s="1"/>
  <c r="L15" i="2"/>
  <c r="R15" i="2" s="1"/>
  <c r="R5" i="2" l="1"/>
  <c r="R1" i="2" s="1"/>
  <c r="L1" i="2"/>
  <c r="Q5" i="2"/>
  <c r="Q1" i="2" s="1"/>
  <c r="K1" i="2"/>
  <c r="S5" i="2"/>
  <c r="S1" i="2" s="1"/>
  <c r="M1" i="2"/>
  <c r="A4" i="1"/>
  <c r="N22" i="1" s="1"/>
  <c r="V2" i="2" l="1"/>
  <c r="N23" i="1"/>
  <c r="N24" i="1" s="1"/>
  <c r="L23" i="1"/>
  <c r="H23" i="1"/>
  <c r="J23" i="1"/>
  <c r="N5" i="2"/>
  <c r="K28" i="1"/>
  <c r="M29" i="1"/>
  <c r="O28" i="1"/>
  <c r="A28" i="1"/>
  <c r="T5" i="2" l="1"/>
  <c r="N1" i="2"/>
  <c r="P23" i="1"/>
  <c r="A6" i="1"/>
  <c r="M28" i="1"/>
  <c r="A30" i="1"/>
  <c r="M24" i="1"/>
  <c r="M26" i="1" s="1"/>
  <c r="M27" i="1" s="1"/>
  <c r="A9" i="1"/>
  <c r="A10" i="1"/>
  <c r="A11" i="1"/>
  <c r="A12" i="1"/>
  <c r="I22" i="1"/>
  <c r="I28" i="1" s="1"/>
  <c r="U5" i="2" l="1"/>
  <c r="V5" i="2" s="1"/>
  <c r="X5" i="2" s="1"/>
  <c r="X1" i="2" s="1"/>
  <c r="T1" i="2"/>
  <c r="N12" i="2"/>
  <c r="T12" i="2" s="1"/>
  <c r="N13" i="2"/>
  <c r="T13" i="2" s="1"/>
  <c r="N10" i="2"/>
  <c r="T10" i="2" s="1"/>
  <c r="N11" i="2"/>
  <c r="T11" i="2" s="1"/>
  <c r="N14" i="2"/>
  <c r="T14" i="2" s="1"/>
  <c r="N7" i="2"/>
  <c r="T7" i="2" s="1"/>
  <c r="N15" i="2"/>
  <c r="T15" i="2" s="1"/>
  <c r="N8" i="2"/>
  <c r="T8" i="2" s="1"/>
  <c r="N9" i="2"/>
  <c r="T9" i="2" s="1"/>
  <c r="N6" i="2"/>
  <c r="K29" i="1"/>
  <c r="O29" i="1"/>
  <c r="K24" i="1"/>
  <c r="K26" i="1" s="1"/>
  <c r="K27" i="1" s="1"/>
  <c r="O24" i="1"/>
  <c r="O26" i="1" s="1"/>
  <c r="O27" i="1" s="1"/>
  <c r="Q22" i="1"/>
  <c r="I23" i="1"/>
  <c r="Z5" i="2" l="1"/>
  <c r="Z1" i="2" s="1"/>
  <c r="Y5" i="2"/>
  <c r="Y1" i="2" s="1"/>
  <c r="T6" i="2"/>
  <c r="U6" i="2" s="1"/>
  <c r="V6" i="2" s="1"/>
  <c r="U11" i="2"/>
  <c r="V11" i="2" s="1"/>
  <c r="U13" i="2"/>
  <c r="V13" i="2" s="1"/>
  <c r="U8" i="2"/>
  <c r="V8" i="2" s="1"/>
  <c r="U7" i="2"/>
  <c r="V7" i="2" s="1"/>
  <c r="U10" i="2"/>
  <c r="V10" i="2" s="1"/>
  <c r="U12" i="2"/>
  <c r="V12" i="2" s="1"/>
  <c r="U9" i="2"/>
  <c r="V9" i="2" s="1"/>
  <c r="U15" i="2"/>
  <c r="V15" i="2" s="1"/>
  <c r="Z15" i="2" s="1"/>
  <c r="U14" i="2"/>
  <c r="V14" i="2" s="1"/>
  <c r="X14" i="2" s="1"/>
  <c r="O1" i="2"/>
  <c r="A33" i="1"/>
  <c r="A37" i="1"/>
  <c r="Q23" i="1"/>
  <c r="Q29" i="1" s="1"/>
  <c r="I29" i="1"/>
  <c r="Q28" i="1"/>
  <c r="I24" i="1"/>
  <c r="AA5" i="2" l="1"/>
  <c r="AB5" i="2" s="1"/>
  <c r="X9" i="2"/>
  <c r="Z9" i="2"/>
  <c r="Y9" i="2"/>
  <c r="Y14" i="2"/>
  <c r="X12" i="2"/>
  <c r="Z12" i="2"/>
  <c r="Y12" i="2"/>
  <c r="Z10" i="2"/>
  <c r="Y10" i="2"/>
  <c r="X10" i="2"/>
  <c r="Z7" i="2"/>
  <c r="Y7" i="2"/>
  <c r="X7" i="2"/>
  <c r="X8" i="2"/>
  <c r="Z8" i="2"/>
  <c r="Y8" i="2"/>
  <c r="Y13" i="2"/>
  <c r="X13" i="2"/>
  <c r="Z13" i="2"/>
  <c r="Z11" i="2"/>
  <c r="Y11" i="2"/>
  <c r="X11" i="2"/>
  <c r="X15" i="2"/>
  <c r="Z14" i="2"/>
  <c r="Y15" i="2"/>
  <c r="A38" i="1"/>
  <c r="Z6" i="2"/>
  <c r="Y6" i="2"/>
  <c r="X6" i="2"/>
  <c r="U1" i="2"/>
  <c r="I15" i="1" s="1"/>
  <c r="V1" i="2"/>
  <c r="I16" i="1" s="1"/>
  <c r="I26" i="1"/>
  <c r="I27" i="1" s="1"/>
  <c r="Q24" i="1"/>
  <c r="AA1" i="2" l="1"/>
  <c r="A39" i="1"/>
  <c r="I13" i="1" s="1"/>
  <c r="F12" i="1" s="1"/>
  <c r="AA13" i="2"/>
  <c r="AB13" i="2" s="1"/>
  <c r="AA9" i="2"/>
  <c r="AB9" i="2" s="1"/>
  <c r="AA6" i="2"/>
  <c r="AB6" i="2" s="1"/>
  <c r="AA7" i="2"/>
  <c r="AB7" i="2" s="1"/>
  <c r="AA11" i="2"/>
  <c r="AB11" i="2" s="1"/>
  <c r="AA12" i="2"/>
  <c r="AB12" i="2" s="1"/>
  <c r="AA8" i="2"/>
  <c r="AB8" i="2" s="1"/>
  <c r="AA10" i="2"/>
  <c r="AB10" i="2" s="1"/>
  <c r="AA14" i="2"/>
  <c r="AB14" i="2" s="1"/>
  <c r="AA15" i="2"/>
  <c r="AB15" i="2" s="1"/>
  <c r="B38" i="1"/>
  <c r="Q25" i="1"/>
  <c r="Q26" i="1" s="1"/>
  <c r="A40" i="1" l="1"/>
  <c r="A41" i="1"/>
  <c r="A50" i="1"/>
  <c r="F13" i="1"/>
  <c r="J25" i="1"/>
  <c r="L25" i="1"/>
  <c r="Q27" i="1"/>
  <c r="N25" i="1" l="1"/>
  <c r="N26" i="1" s="1"/>
  <c r="N27" i="1" s="1"/>
  <c r="P25" i="1" l="1"/>
  <c r="I17" i="1" s="1"/>
  <c r="J22" i="1" l="1"/>
  <c r="H22" i="1"/>
  <c r="L22" i="1"/>
  <c r="J24" i="1" l="1"/>
  <c r="J26" i="1" s="1"/>
  <c r="J27" i="1" s="1"/>
  <c r="L24" i="1"/>
  <c r="L26" i="1" s="1"/>
  <c r="L27" i="1" s="1"/>
  <c r="P22" i="1"/>
  <c r="P24" i="1" s="1"/>
  <c r="H24" i="1"/>
  <c r="H26" i="1" s="1"/>
  <c r="P26" i="1" l="1"/>
  <c r="A49" i="1" s="1"/>
  <c r="H27" i="1"/>
  <c r="P27" i="1" s="1"/>
  <c r="P28" i="1"/>
  <c r="H28" i="1" s="1"/>
  <c r="A51" i="1" l="1"/>
  <c r="A52" i="1" s="1"/>
  <c r="J28" i="1"/>
  <c r="L28" i="1"/>
  <c r="N28" i="1"/>
  <c r="M7" i="1" l="1"/>
  <c r="B49" i="1"/>
  <c r="A53" i="1"/>
  <c r="A54" i="1" s="1"/>
  <c r="B50" i="1" l="1"/>
  <c r="A55" i="1"/>
  <c r="B51" i="1" s="1"/>
  <c r="B52" i="1" s="1"/>
  <c r="I12" i="1" l="1"/>
  <c r="A35" i="1" s="1"/>
  <c r="P29" i="1" s="1"/>
  <c r="H29" i="1" s="1"/>
  <c r="L29" i="1" l="1"/>
  <c r="N29" i="1"/>
  <c r="J29" i="1"/>
</calcChain>
</file>

<file path=xl/sharedStrings.xml><?xml version="1.0" encoding="utf-8"?>
<sst xmlns="http://schemas.openxmlformats.org/spreadsheetml/2006/main" count="116" uniqueCount="84">
  <si>
    <t>Desconto máximo:</t>
  </si>
  <si>
    <t>Desconto possível:</t>
  </si>
  <si>
    <t>Desconto aplicado:</t>
  </si>
  <si>
    <t>Demonstrativo</t>
  </si>
  <si>
    <t>Principal</t>
  </si>
  <si>
    <t>Multa</t>
  </si>
  <si>
    <t>Juros</t>
  </si>
  <si>
    <t>Encargos/Honorários</t>
  </si>
  <si>
    <t>Consolidado</t>
  </si>
  <si>
    <t>Total sem descontos (A)</t>
  </si>
  <si>
    <t>Saldo para aplicação de benefícios (C )= (A-B)</t>
  </si>
  <si>
    <t>Benefícios concedidos (D)</t>
  </si>
  <si>
    <t>Total com descontos (E)= (C-D)</t>
  </si>
  <si>
    <t>Valor Condolidado</t>
  </si>
  <si>
    <t>Prinicipal</t>
  </si>
  <si>
    <t>Encargo legal</t>
  </si>
  <si>
    <t>Valor consolidado</t>
  </si>
  <si>
    <t>Art. 9º São modalidades de transação excepcional na cobrança da dívida ativa da União:</t>
  </si>
  <si>
    <t>Empresários individuais, microempresas, empresas de pequeno porte, instituições de ensino, Santas Casas de Misericórdia, sociedades cooperativas e demais organizações da sociedade civil de que trata a Lei n. 13.019, de 31 de julho de 2014.</t>
  </si>
  <si>
    <t>Demais pessoas jurídicas.</t>
  </si>
  <si>
    <t>Pessoas físicas.</t>
  </si>
  <si>
    <t>Devedores com personalidade jurídica de direito público.</t>
  </si>
  <si>
    <t>P mínima</t>
  </si>
  <si>
    <t>§ 2º O valor das parcelas previstas nos no caput não será inferior a:</t>
  </si>
  <si>
    <t>I - R$ 100,00 (cem reais), na hipótese de contribuinte pessoa natural, empresário individual, microempresa ou empresa de pequeno porte;</t>
  </si>
  <si>
    <t>II - R$ 500,00 (quinhentos reais), nos demais casos.</t>
  </si>
  <si>
    <t>I - para os empresários individuais, microempresas, empresas de pequeno porte, instituições de ensino, Santas Casas de Misericórdia, sociedades cooperativas e demais organizações da sociedade civil de que trata a Lei n. 13.019, de 31 de julho de 2014, cujos créditos são considerados irrecuperáveis ou de difícil recuperação:</t>
  </si>
  <si>
    <t>II - para as demais pessoas jurídicas cujos créditos são considerados irrecuperáveis ou de difícil recuperação:</t>
  </si>
  <si>
    <t>a) sendo cada parcela determinada pelo maior valor entre 1% (um por cento) da receita bruta do mês imediatamente anterior, apurada na forma do art. 12 do Decreto-Lei n. 1.598/77, e o valor correspondente à divisão do valor consolidado pela quantidade de prestações solicitadas;</t>
  </si>
  <si>
    <t>III - para as pessoas físicas</t>
  </si>
  <si>
    <t>a) sendo cada parcela determinada pelo maior valor entre 5% (cinco por cento) do rendimento bruto do mês imediatamente anterior e o valor correspondente à divisão do valor correspondente à divisão do valor consolidado pela quantidade de prestações solicitadas;</t>
  </si>
  <si>
    <t>P Pedagio</t>
  </si>
  <si>
    <t>P Saldo</t>
  </si>
  <si>
    <t>% do rendimento</t>
  </si>
  <si>
    <t>pedagio</t>
  </si>
  <si>
    <t>VALOR DO PEDÁGIO</t>
  </si>
  <si>
    <t>BASE PARA DESCONTO</t>
  </si>
  <si>
    <t>DESCONTO</t>
  </si>
  <si>
    <t>Valor passível de descontodesconto possível</t>
  </si>
  <si>
    <t>A parcela é determinada pelo maior valor entre 1% (um por cento) da receita bruta do mês imediatamente anterior, apurada na forma do art. 12 do Decreto-Lei n. 1.598/77, e o valor correspondente à divisão do valor consolidado pela quantidade de prestações solicitadas.</t>
  </si>
  <si>
    <t>A parcela determinada pelo maior valor entre 5% (cinco por cento) do rendimento bruto do mês imediatamente anterior e o valor correspondente à divisão do valor correspondente à divisão do valor consolidado pela quantidade de prestações solicitadas</t>
  </si>
  <si>
    <t>PLANILHA PARA SIMULAÇÃO DE ADESÃO AO ACORDO DE TRANSAÇÃO EXCEPCIONAL - DÍVIDA NÃO PREVIDENCIÁRIA</t>
  </si>
  <si>
    <t>Valor Total da Negociação (F) = (B + E)</t>
  </si>
  <si>
    <t>Valor da prestação básica da Negociação</t>
  </si>
  <si>
    <t>PLANILHA CAPACIDADE DE PAGAMENTO - CAPAG</t>
  </si>
  <si>
    <t>Data de Simulação da Adesão:</t>
  </si>
  <si>
    <t>Selecione o Tipo de Contribuinte:</t>
  </si>
  <si>
    <t>Capacidade de pagamento em 60 meses:</t>
  </si>
  <si>
    <t>Valor da Dívida:</t>
  </si>
  <si>
    <t>Ano</t>
  </si>
  <si>
    <t>Mês</t>
  </si>
  <si>
    <t>Receita/Rendimento</t>
  </si>
  <si>
    <t>Soma Receita/Rendimento Bruta(o) Mensal 2019:</t>
  </si>
  <si>
    <t>Soma Receita/Rendimento Bruta(o) Mensal 2020:</t>
  </si>
  <si>
    <t>% Variação 2020/2019:</t>
  </si>
  <si>
    <t>Fator Redutor Capag:</t>
  </si>
  <si>
    <t>Capacidade de pagamento (reduzida) em 60 meses:</t>
  </si>
  <si>
    <t>% Desconto máximo possível capacidade de pgto em 60 meses:</t>
  </si>
  <si>
    <t>% Desconto máximo possível capacidade de pgto (reduzida) em 60 meses:</t>
  </si>
  <si>
    <t>Empresários individuais, microempresas, empresas de pequeno porte, instituições de ensino, Santas Casas de Misericórdia, sociedades cooperativas e demais organizações da sociedade civil de que trata a Lei n. 13.019, de 31 de julho de 2014, em processo de recuperação judicial, liquidação judicial, liquidação extrajudicial ou falência.</t>
  </si>
  <si>
    <t>Demais pessoas jurídicas em processo de recuperação judicial, liquidação judicial, liquidação extrajudicial ou falência.</t>
  </si>
  <si>
    <t>Entrada (B)</t>
  </si>
  <si>
    <t>Valor da prestação básica da Entrada</t>
  </si>
  <si>
    <t>Entrada:</t>
  </si>
  <si>
    <t>Receita/Rendimento do mês anterior ao da Simulação da Adesão:</t>
  </si>
  <si>
    <t>Data de simulação da adesão:</t>
  </si>
  <si>
    <t>Percentual de desconto máximo possível:</t>
  </si>
  <si>
    <t>Informe CNPJ/CPF:</t>
  </si>
  <si>
    <t>CNPJ/CPF:</t>
  </si>
  <si>
    <t>a) Redução de até 65%, em até 48 parcelas mensais e sucessivas.</t>
  </si>
  <si>
    <t>b) Redução de até 55%, em até 72 parcelas mensais e sucessivas.</t>
  </si>
  <si>
    <t>c) Redução de até 45%, em até 96 parcelas mensais e sucessivas.</t>
  </si>
  <si>
    <t>d) Redução de até 35%, em até 120 parcelas mensais e sucessivas.</t>
  </si>
  <si>
    <t>e) Em processo de recuperação judicial, liquidação judicial, liquidação extrajudicial ou falência - Redução de até 65%, em até 120 parcelas mensais e sucessivas.</t>
  </si>
  <si>
    <t>a) Redução de até 65%, em até 120 parcelas mensais e sucessivas.</t>
  </si>
  <si>
    <t>a) Redução de até 70%, em até 48 parcelas mensais e sucessivas.</t>
  </si>
  <si>
    <t>b) Redução de até 60%, em até 72 parcelas mensais e sucessivas.</t>
  </si>
  <si>
    <t>c) Redução de até 50%, em até 96 parcelas mensais e sucessivas.</t>
  </si>
  <si>
    <t>d) Redução de até 40%, em até 120 parcelas mensais e sucessivas.</t>
  </si>
  <si>
    <t>e) Redução de até 30%, em até 145 parcelas mensais e sucessivas.</t>
  </si>
  <si>
    <t>a) Redução de até 70%, em até 145 parcelas mensais e sucessivas.</t>
  </si>
  <si>
    <t>f) Em processo de recuperação judicial, liquidação judicial, liquidação extrajudicial ou falência - Redução de até 70%, em até 145 parcelas mensais e sucessivas.</t>
  </si>
  <si>
    <t>DÉBITO</t>
  </si>
  <si>
    <r>
      <t xml:space="preserve">VALOR DA DÍVIDA NÃO PREVIDENCIÁRIA SEM DESCONTOS
</t>
    </r>
    <r>
      <rPr>
        <b/>
        <i/>
        <sz val="10"/>
        <color rgb="FFFF0000"/>
        <rFont val="Arial"/>
        <family val="2"/>
      </rPr>
      <t>Para a correta aplicação do desconto, informe os valores</t>
    </r>
    <r>
      <rPr>
        <b/>
        <sz val="10"/>
        <color rgb="FFFF0000"/>
        <rFont val="Arial"/>
        <family val="2"/>
      </rPr>
      <t xml:space="preserve"> da negociação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</si>
</sst>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* #,##0_-;\-* #,##0_-;_-* &quot;-&quot;??_-;_-@_-"/>
    <numFmt numFmtId="166" formatCode="0000000000000"/>
    <numFmt numFmtId="167" formatCode="_-[$R$-416]\ * #,##0.0000_-;\-[$R$-416]\ * #,##0.0000_-;_-[$R$-416]\ 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sz val="8"/>
      <color rgb="FF000000"/>
      <name val="Segoe UI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 Nova"/>
      <family val="2"/>
    </font>
    <font>
      <b/>
      <sz val="14"/>
      <color theme="1"/>
      <name val="Arial Nova"/>
      <family val="2"/>
    </font>
    <font>
      <sz val="11"/>
      <color rgb="FFFF0000"/>
      <name val="Arial Nova"/>
      <family val="2"/>
    </font>
    <font>
      <b/>
      <sz val="14"/>
      <color rgb="FFFF0000"/>
      <name val="Arial Nova"/>
      <family val="2"/>
    </font>
    <font>
      <b/>
      <sz val="11"/>
      <name val="Arial Nova"/>
      <family val="2"/>
    </font>
    <font>
      <sz val="11"/>
      <name val="Arial Nova"/>
      <family val="2"/>
    </font>
    <font>
      <b/>
      <sz val="12"/>
      <name val="Arial Nova"/>
      <family val="2"/>
    </font>
    <font>
      <b/>
      <i/>
      <sz val="11"/>
      <name val="Arial Nova"/>
      <family val="2"/>
    </font>
    <font>
      <b/>
      <i/>
      <sz val="11"/>
      <color rgb="FF0070C0"/>
      <name val="Arial Nova"/>
      <family val="2"/>
    </font>
    <font>
      <sz val="11"/>
      <color rgb="FF0070C0"/>
      <name val="Arial Nova"/>
      <family val="2"/>
    </font>
    <font>
      <b/>
      <i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Arial Nova"/>
      <family val="2"/>
    </font>
    <font>
      <sz val="11"/>
      <color theme="0"/>
      <name val="Arial Nova"/>
      <family val="2"/>
    </font>
    <font>
      <b/>
      <sz val="10"/>
      <color rgb="FFFF0000"/>
      <name val="Arial"/>
      <family val="2"/>
    </font>
    <font>
      <sz val="9"/>
      <color rgb="FF5A5A5A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F8B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EDF2F7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91B1DB"/>
      </left>
      <right style="medium">
        <color rgb="FF91B1DB"/>
      </right>
      <top style="medium">
        <color rgb="FF91B1DB"/>
      </top>
      <bottom style="medium">
        <color rgb="FF91B1DB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7" borderId="0" applyNumberFormat="0" applyBorder="0" applyAlignment="0" applyProtection="0"/>
  </cellStyleXfs>
  <cellXfs count="198">
    <xf numFmtId="0" fontId="0" fillId="0" borderId="0" xfId="0"/>
    <xf numFmtId="164" fontId="12" fillId="2" borderId="6" xfId="1" applyNumberFormat="1" applyFont="1" applyFill="1" applyBorder="1" applyAlignment="1" applyProtection="1">
      <alignment horizontal="center" vertical="center" wrapText="1"/>
    </xf>
    <xf numFmtId="164" fontId="12" fillId="2" borderId="0" xfId="1" applyNumberFormat="1" applyFont="1" applyFill="1" applyBorder="1" applyAlignment="1" applyProtection="1">
      <alignment horizontal="center" vertical="center" wrapText="1"/>
    </xf>
    <xf numFmtId="166" fontId="0" fillId="0" borderId="0" xfId="0" applyNumberFormat="1" applyAlignment="1">
      <alignment horizontal="center"/>
    </xf>
    <xf numFmtId="43" fontId="0" fillId="0" borderId="0" xfId="0" applyNumberFormat="1"/>
    <xf numFmtId="0" fontId="6" fillId="0" borderId="15" xfId="0" applyFont="1" applyBorder="1"/>
    <xf numFmtId="0" fontId="6" fillId="0" borderId="0" xfId="0" applyFont="1"/>
    <xf numFmtId="43" fontId="0" fillId="0" borderId="0" xfId="1" applyFont="1" applyFill="1"/>
    <xf numFmtId="164" fontId="0" fillId="0" borderId="28" xfId="0" applyNumberFormat="1" applyBorder="1" applyProtection="1">
      <protection locked="0"/>
    </xf>
    <xf numFmtId="9" fontId="19" fillId="0" borderId="0" xfId="2" applyFont="1" applyProtection="1"/>
    <xf numFmtId="10" fontId="0" fillId="0" borderId="0" xfId="2" applyNumberFormat="1" applyFont="1" applyBorder="1" applyAlignment="1" applyProtection="1">
      <alignment horizontal="center"/>
    </xf>
    <xf numFmtId="10" fontId="0" fillId="0" borderId="9" xfId="2" applyNumberFormat="1" applyFont="1" applyBorder="1" applyAlignment="1" applyProtection="1">
      <alignment horizontal="center"/>
    </xf>
    <xf numFmtId="164" fontId="1" fillId="4" borderId="5" xfId="4" applyNumberFormat="1" applyFill="1" applyBorder="1" applyAlignment="1" applyProtection="1">
      <alignment vertical="center"/>
      <protection locked="0"/>
    </xf>
    <xf numFmtId="0" fontId="19" fillId="0" borderId="0" xfId="0" applyFont="1"/>
    <xf numFmtId="14" fontId="19" fillId="0" borderId="0" xfId="0" applyNumberFormat="1" applyFont="1"/>
    <xf numFmtId="14" fontId="19" fillId="0" borderId="22" xfId="0" applyNumberFormat="1" applyFont="1" applyBorder="1"/>
    <xf numFmtId="0" fontId="20" fillId="0" borderId="24" xfId="0" applyFont="1" applyBorder="1" applyAlignment="1">
      <alignment horizontal="center" vertical="center"/>
    </xf>
    <xf numFmtId="14" fontId="19" fillId="0" borderId="25" xfId="0" applyNumberFormat="1" applyFont="1" applyBorder="1"/>
    <xf numFmtId="0" fontId="0" fillId="0" borderId="7" xfId="0" applyBorder="1"/>
    <xf numFmtId="0" fontId="0" fillId="0" borderId="26" xfId="0" applyBorder="1"/>
    <xf numFmtId="0" fontId="0" fillId="0" borderId="8" xfId="0" applyBorder="1"/>
    <xf numFmtId="0" fontId="0" fillId="0" borderId="27" xfId="0" applyBorder="1"/>
    <xf numFmtId="0" fontId="19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14" fontId="19" fillId="0" borderId="2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5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14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1" fontId="19" fillId="0" borderId="25" xfId="0" applyNumberFormat="1" applyFont="1" applyBorder="1" applyAlignment="1">
      <alignment horizontal="left"/>
    </xf>
    <xf numFmtId="0" fontId="0" fillId="0" borderId="2" xfId="0" applyBorder="1"/>
    <xf numFmtId="0" fontId="0" fillId="0" borderId="21" xfId="0" applyBorder="1"/>
    <xf numFmtId="0" fontId="0" fillId="0" borderId="10" xfId="0" applyBorder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2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readingOrder="1"/>
    </xf>
    <xf numFmtId="164" fontId="0" fillId="0" borderId="0" xfId="0" applyNumberFormat="1"/>
    <xf numFmtId="164" fontId="0" fillId="0" borderId="27" xfId="0" applyNumberFormat="1" applyBorder="1"/>
    <xf numFmtId="0" fontId="0" fillId="0" borderId="25" xfId="0" applyBorder="1"/>
    <xf numFmtId="0" fontId="0" fillId="0" borderId="11" xfId="0" applyBorder="1"/>
    <xf numFmtId="0" fontId="0" fillId="0" borderId="1" xfId="0" applyBorder="1"/>
    <xf numFmtId="0" fontId="0" fillId="0" borderId="6" xfId="0" applyBorder="1"/>
    <xf numFmtId="14" fontId="19" fillId="0" borderId="29" xfId="0" applyNumberFormat="1" applyFont="1" applyBorder="1"/>
    <xf numFmtId="0" fontId="0" fillId="0" borderId="30" xfId="0" applyBorder="1"/>
    <xf numFmtId="0" fontId="0" fillId="0" borderId="31" xfId="0" applyBorder="1"/>
    <xf numFmtId="9" fontId="0" fillId="0" borderId="0" xfId="2" applyFont="1" applyProtection="1"/>
    <xf numFmtId="43" fontId="0" fillId="0" borderId="0" xfId="1" applyFont="1" applyProtection="1"/>
    <xf numFmtId="9" fontId="19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2" borderId="3" xfId="0" applyFont="1" applyFill="1" applyBorder="1"/>
    <xf numFmtId="0" fontId="2" fillId="0" borderId="9" xfId="0" applyFont="1" applyBorder="1"/>
    <xf numFmtId="0" fontId="2" fillId="0" borderId="0" xfId="0" applyFont="1" applyAlignment="1">
      <alignment horizontal="center"/>
    </xf>
    <xf numFmtId="0" fontId="2" fillId="4" borderId="0" xfId="0" applyFont="1" applyFill="1"/>
    <xf numFmtId="0" fontId="3" fillId="0" borderId="0" xfId="0" applyFont="1" applyAlignment="1">
      <alignment vertical="center" wrapText="1"/>
    </xf>
    <xf numFmtId="0" fontId="7" fillId="0" borderId="19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0" borderId="20" xfId="0" applyFont="1" applyBorder="1" applyAlignment="1">
      <alignment horizontal="right" vertical="center"/>
    </xf>
    <xf numFmtId="0" fontId="2" fillId="0" borderId="7" xfId="0" applyFont="1" applyBorder="1"/>
    <xf numFmtId="0" fontId="2" fillId="0" borderId="11" xfId="0" applyFont="1" applyBorder="1"/>
    <xf numFmtId="0" fontId="2" fillId="0" borderId="8" xfId="0" applyFont="1" applyBorder="1"/>
    <xf numFmtId="0" fontId="11" fillId="2" borderId="5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2" xfId="0" applyFont="1" applyBorder="1"/>
    <xf numFmtId="0" fontId="11" fillId="2" borderId="6" xfId="0" applyFont="1" applyFill="1" applyBorder="1" applyAlignment="1">
      <alignment vertical="center"/>
    </xf>
    <xf numFmtId="0" fontId="2" fillId="0" borderId="6" xfId="0" applyFont="1" applyBorder="1"/>
    <xf numFmtId="0" fontId="2" fillId="0" borderId="10" xfId="0" applyFont="1" applyBorder="1"/>
    <xf numFmtId="0" fontId="2" fillId="0" borderId="12" xfId="0" applyFont="1" applyBorder="1"/>
    <xf numFmtId="0" fontId="11" fillId="2" borderId="0" xfId="0" applyFont="1" applyFill="1" applyAlignment="1">
      <alignment vertical="center"/>
    </xf>
    <xf numFmtId="0" fontId="0" fillId="8" borderId="0" xfId="0" applyFill="1"/>
    <xf numFmtId="0" fontId="13" fillId="2" borderId="9" xfId="0" applyFont="1" applyFill="1" applyBorder="1" applyAlignment="1">
      <alignment horizontal="center" vertical="center" wrapText="1"/>
    </xf>
    <xf numFmtId="164" fontId="14" fillId="0" borderId="9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2" borderId="9" xfId="0" applyNumberFormat="1" applyFont="1" applyFill="1" applyBorder="1" applyAlignment="1">
      <alignment horizontal="center" vertical="center" wrapText="1"/>
    </xf>
    <xf numFmtId="0" fontId="15" fillId="0" borderId="0" xfId="0" applyFont="1"/>
    <xf numFmtId="43" fontId="2" fillId="0" borderId="0" xfId="1" applyFont="1" applyProtection="1"/>
    <xf numFmtId="164" fontId="2" fillId="0" borderId="0" xfId="0" applyNumberFormat="1" applyFont="1"/>
    <xf numFmtId="0" fontId="15" fillId="0" borderId="0" xfId="0" applyFont="1" applyAlignment="1">
      <alignment vertical="center"/>
    </xf>
    <xf numFmtId="43" fontId="2" fillId="0" borderId="0" xfId="1" applyFont="1" applyAlignment="1" applyProtection="1">
      <alignment vertical="center"/>
    </xf>
    <xf numFmtId="0" fontId="2" fillId="0" borderId="0" xfId="0" applyFont="1" applyAlignment="1">
      <alignment vertical="center"/>
    </xf>
    <xf numFmtId="164" fontId="2" fillId="0" borderId="0" xfId="3" applyNumberFormat="1" applyFont="1" applyAlignment="1" applyProtection="1">
      <alignment horizontal="right"/>
    </xf>
    <xf numFmtId="0" fontId="9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4" fontId="2" fillId="4" borderId="0" xfId="0" applyNumberFormat="1" applyFont="1" applyFill="1"/>
    <xf numFmtId="165" fontId="0" fillId="0" borderId="0" xfId="0" applyNumberFormat="1"/>
    <xf numFmtId="164" fontId="2" fillId="5" borderId="0" xfId="0" applyNumberFormat="1" applyFont="1" applyFill="1"/>
    <xf numFmtId="44" fontId="0" fillId="0" borderId="0" xfId="3" applyFont="1" applyProtection="1"/>
    <xf numFmtId="0" fontId="7" fillId="0" borderId="0" xfId="0" applyFont="1"/>
    <xf numFmtId="164" fontId="7" fillId="0" borderId="0" xfId="0" applyNumberFormat="1" applyFont="1" applyAlignment="1">
      <alignment vertical="center"/>
    </xf>
    <xf numFmtId="165" fontId="0" fillId="0" borderId="0" xfId="1" applyNumberFormat="1" applyFont="1" applyProtection="1"/>
    <xf numFmtId="165" fontId="2" fillId="5" borderId="0" xfId="1" applyNumberFormat="1" applyFont="1" applyFill="1" applyProtection="1"/>
    <xf numFmtId="165" fontId="2" fillId="0" borderId="0" xfId="1" applyNumberFormat="1" applyFont="1" applyFill="1" applyProtection="1"/>
    <xf numFmtId="164" fontId="2" fillId="5" borderId="0" xfId="1" applyNumberFormat="1" applyFont="1" applyFill="1" applyProtection="1"/>
    <xf numFmtId="165" fontId="2" fillId="0" borderId="0" xfId="1" applyNumberFormat="1" applyFont="1" applyProtection="1"/>
    <xf numFmtId="164" fontId="2" fillId="0" borderId="0" xfId="1" applyNumberFormat="1" applyFont="1" applyProtection="1"/>
    <xf numFmtId="164" fontId="0" fillId="6" borderId="0" xfId="0" applyNumberFormat="1" applyFill="1"/>
    <xf numFmtId="44" fontId="2" fillId="0" borderId="0" xfId="3" applyFont="1" applyProtection="1"/>
    <xf numFmtId="165" fontId="0" fillId="6" borderId="0" xfId="0" applyNumberFormat="1" applyFill="1"/>
    <xf numFmtId="44" fontId="0" fillId="6" borderId="0" xfId="3" applyFont="1" applyFill="1" applyProtection="1"/>
    <xf numFmtId="165" fontId="0" fillId="6" borderId="0" xfId="1" applyNumberFormat="1" applyFont="1" applyFill="1" applyProtection="1"/>
    <xf numFmtId="43" fontId="0" fillId="6" borderId="0" xfId="1" applyFont="1" applyFill="1" applyProtection="1"/>
    <xf numFmtId="14" fontId="1" fillId="4" borderId="5" xfId="4" applyNumberFormat="1" applyFill="1" applyBorder="1" applyAlignment="1" applyProtection="1">
      <alignment horizontal="center" vertical="center"/>
      <protection locked="0"/>
    </xf>
    <xf numFmtId="9" fontId="2" fillId="0" borderId="0" xfId="0" applyNumberFormat="1" applyFont="1"/>
    <xf numFmtId="9" fontId="2" fillId="0" borderId="0" xfId="2" applyFont="1" applyProtection="1"/>
    <xf numFmtId="10" fontId="19" fillId="0" borderId="0" xfId="0" applyNumberFormat="1" applyFont="1"/>
    <xf numFmtId="0" fontId="2" fillId="8" borderId="0" xfId="0" applyFont="1" applyFill="1" applyAlignment="1">
      <alignment horizontal="center" vertical="center"/>
    </xf>
    <xf numFmtId="0" fontId="0" fillId="0" borderId="9" xfId="0" applyBorder="1"/>
    <xf numFmtId="49" fontId="1" fillId="4" borderId="5" xfId="4" applyNumberForma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3" fontId="6" fillId="0" borderId="0" xfId="1" applyFont="1" applyFill="1" applyBorder="1"/>
    <xf numFmtId="43" fontId="5" fillId="0" borderId="18" xfId="1" applyFont="1" applyFill="1" applyBorder="1" applyAlignment="1">
      <alignment horizontal="center" vertical="center" wrapText="1"/>
    </xf>
    <xf numFmtId="1" fontId="23" fillId="0" borderId="0" xfId="0" applyNumberFormat="1" applyFont="1" applyAlignment="1">
      <alignment horizontal="left"/>
    </xf>
    <xf numFmtId="0" fontId="25" fillId="2" borderId="5" xfId="0" applyFont="1" applyFill="1" applyBorder="1" applyAlignment="1">
      <alignment vertical="center"/>
    </xf>
    <xf numFmtId="0" fontId="25" fillId="2" borderId="5" xfId="0" applyFont="1" applyFill="1" applyBorder="1" applyAlignment="1">
      <alignment horizontal="left" vertical="center"/>
    </xf>
    <xf numFmtId="0" fontId="25" fillId="0" borderId="5" xfId="0" applyFont="1" applyBorder="1" applyAlignment="1">
      <alignment vertical="center"/>
    </xf>
    <xf numFmtId="0" fontId="25" fillId="0" borderId="5" xfId="0" applyFont="1" applyBorder="1" applyAlignment="1">
      <alignment horizontal="left" vertical="center"/>
    </xf>
    <xf numFmtId="164" fontId="1" fillId="0" borderId="5" xfId="4" applyNumberFormat="1" applyFill="1" applyBorder="1" applyAlignment="1" applyProtection="1">
      <alignment vertical="center"/>
    </xf>
    <xf numFmtId="1" fontId="0" fillId="0" borderId="0" xfId="0" applyNumberFormat="1" applyAlignment="1">
      <alignment horizontal="center"/>
    </xf>
    <xf numFmtId="43" fontId="0" fillId="0" borderId="0" xfId="1" applyFont="1" applyFill="1" applyProtection="1"/>
    <xf numFmtId="14" fontId="22" fillId="0" borderId="5" xfId="4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9" xfId="0" applyNumberFormat="1" applyBorder="1" applyAlignment="1">
      <alignment horizontal="center"/>
    </xf>
    <xf numFmtId="10" fontId="0" fillId="0" borderId="0" xfId="2" applyNumberFormat="1" applyFont="1" applyBorder="1" applyAlignment="1" applyProtection="1">
      <alignment horizontal="right"/>
    </xf>
    <xf numFmtId="10" fontId="0" fillId="0" borderId="9" xfId="2" applyNumberFormat="1" applyFont="1" applyBorder="1" applyAlignment="1" applyProtection="1">
      <alignment horizontal="right"/>
    </xf>
    <xf numFmtId="167" fontId="0" fillId="0" borderId="0" xfId="0" applyNumberFormat="1" applyAlignment="1">
      <alignment horizontal="center"/>
    </xf>
    <xf numFmtId="167" fontId="0" fillId="0" borderId="9" xfId="0" applyNumberFormat="1" applyBorder="1" applyAlignment="1">
      <alignment horizontal="center"/>
    </xf>
    <xf numFmtId="10" fontId="0" fillId="0" borderId="0" xfId="2" applyNumberFormat="1" applyFont="1" applyBorder="1" applyAlignment="1" applyProtection="1">
      <alignment horizontal="center"/>
    </xf>
    <xf numFmtId="10" fontId="0" fillId="0" borderId="9" xfId="2" applyNumberFormat="1" applyFont="1" applyBorder="1" applyAlignment="1" applyProtection="1">
      <alignment horizontal="center"/>
    </xf>
    <xf numFmtId="0" fontId="20" fillId="0" borderId="2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6" fillId="0" borderId="15" xfId="0" applyFont="1" applyBorder="1"/>
    <xf numFmtId="0" fontId="6" fillId="0" borderId="16" xfId="0" applyFont="1" applyBorder="1"/>
    <xf numFmtId="166" fontId="5" fillId="0" borderId="13" xfId="0" applyNumberFormat="1" applyFont="1" applyBorder="1" applyAlignment="1">
      <alignment horizontal="center" vertical="center"/>
    </xf>
    <xf numFmtId="166" fontId="6" fillId="0" borderId="17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164" fontId="11" fillId="3" borderId="3" xfId="0" applyNumberFormat="1" applyFont="1" applyFill="1" applyBorder="1" applyAlignment="1">
      <alignment horizontal="justify" vertical="center" wrapText="1"/>
    </xf>
    <xf numFmtId="164" fontId="11" fillId="3" borderId="5" xfId="0" applyNumberFormat="1" applyFont="1" applyFill="1" applyBorder="1" applyAlignment="1">
      <alignment horizontal="justify" vertical="center" wrapText="1"/>
    </xf>
    <xf numFmtId="164" fontId="26" fillId="2" borderId="5" xfId="1" applyNumberFormat="1" applyFont="1" applyFill="1" applyBorder="1" applyAlignment="1" applyProtection="1">
      <alignment horizontal="center" vertical="center" wrapText="1"/>
    </xf>
    <xf numFmtId="164" fontId="11" fillId="3" borderId="4" xfId="0" applyNumberFormat="1" applyFont="1" applyFill="1" applyBorder="1" applyAlignment="1">
      <alignment horizontal="justify" vertical="center" wrapText="1"/>
    </xf>
    <xf numFmtId="164" fontId="12" fillId="0" borderId="3" xfId="0" applyNumberFormat="1" applyFont="1" applyBorder="1" applyAlignment="1">
      <alignment horizontal="justify" vertical="center" wrapText="1"/>
    </xf>
    <xf numFmtId="164" fontId="12" fillId="0" borderId="5" xfId="0" applyNumberFormat="1" applyFont="1" applyBorder="1" applyAlignment="1">
      <alignment horizontal="justify" vertical="center" wrapText="1"/>
    </xf>
    <xf numFmtId="164" fontId="12" fillId="0" borderId="4" xfId="0" applyNumberFormat="1" applyFont="1" applyBorder="1" applyAlignment="1">
      <alignment horizontal="justify" vertical="center" wrapText="1"/>
    </xf>
    <xf numFmtId="164" fontId="12" fillId="2" borderId="3" xfId="0" applyNumberFormat="1" applyFont="1" applyFill="1" applyBorder="1" applyAlignment="1">
      <alignment horizontal="justify" vertical="center" wrapText="1"/>
    </xf>
    <xf numFmtId="164" fontId="12" fillId="2" borderId="4" xfId="0" applyNumberFormat="1" applyFont="1" applyFill="1" applyBorder="1" applyAlignment="1">
      <alignment horizontal="justify" vertical="center" wrapText="1"/>
    </xf>
    <xf numFmtId="164" fontId="2" fillId="0" borderId="21" xfId="0" applyNumberFormat="1" applyFont="1" applyBorder="1" applyAlignment="1">
      <alignment horizontal="center"/>
    </xf>
    <xf numFmtId="43" fontId="0" fillId="0" borderId="0" xfId="0" applyNumberFormat="1" applyAlignment="1">
      <alignment horizontal="center"/>
    </xf>
    <xf numFmtId="10" fontId="12" fillId="2" borderId="5" xfId="2" applyNumberFormat="1" applyFont="1" applyFill="1" applyBorder="1" applyAlignment="1" applyProtection="1">
      <alignment horizontal="center" vertical="center" wrapText="1"/>
    </xf>
    <xf numFmtId="164" fontId="26" fillId="0" borderId="5" xfId="1" applyNumberFormat="1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justify" vertical="center" wrapText="1"/>
    </xf>
    <xf numFmtId="164" fontId="11" fillId="0" borderId="4" xfId="0" applyNumberFormat="1" applyFont="1" applyBorder="1" applyAlignment="1">
      <alignment horizontal="justify" vertical="center" wrapText="1"/>
    </xf>
    <xf numFmtId="0" fontId="14" fillId="3" borderId="5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justify" vertical="center" wrapText="1"/>
    </xf>
    <xf numFmtId="14" fontId="3" fillId="2" borderId="5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4" fontId="12" fillId="0" borderId="23" xfId="0" applyNumberFormat="1" applyFont="1" applyBorder="1" applyAlignment="1">
      <alignment horizontal="center" vertical="center"/>
    </xf>
    <xf numFmtId="164" fontId="12" fillId="4" borderId="32" xfId="2" applyNumberFormat="1" applyFont="1" applyFill="1" applyBorder="1" applyAlignment="1" applyProtection="1">
      <alignment horizontal="center" vertical="center" wrapText="1"/>
      <protection locked="0"/>
    </xf>
    <xf numFmtId="164" fontId="12" fillId="4" borderId="33" xfId="2" applyNumberFormat="1" applyFont="1" applyFill="1" applyBorder="1" applyAlignment="1" applyProtection="1">
      <alignment horizontal="center" vertical="center" wrapText="1"/>
      <protection locked="0"/>
    </xf>
    <xf numFmtId="10" fontId="12" fillId="2" borderId="30" xfId="2" applyNumberFormat="1" applyFont="1" applyFill="1" applyBorder="1" applyAlignment="1" applyProtection="1">
      <alignment horizontal="center" vertical="center" wrapText="1"/>
    </xf>
    <xf numFmtId="1" fontId="12" fillId="0" borderId="5" xfId="1" applyNumberFormat="1" applyFont="1" applyFill="1" applyBorder="1" applyAlignment="1" applyProtection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" fontId="0" fillId="0" borderId="0" xfId="0" applyNumberFormat="1" applyAlignment="1" applyProtection="1">
      <alignment horizontal="center"/>
    </xf>
    <xf numFmtId="0" fontId="0" fillId="0" borderId="0" xfId="0" applyProtection="1"/>
    <xf numFmtId="43" fontId="0" fillId="0" borderId="0" xfId="0" applyNumberFormat="1" applyProtection="1"/>
    <xf numFmtId="43" fontId="28" fillId="9" borderId="34" xfId="1" applyFont="1" applyFill="1" applyBorder="1" applyAlignment="1" applyProtection="1">
      <alignment horizontal="right" vertical="center" indent="1"/>
      <protection locked="0"/>
    </xf>
  </cellXfs>
  <cellStyles count="5">
    <cellStyle name="60% - Ênfase5" xfId="4" builtinId="48"/>
    <cellStyle name="Moeda" xfId="3" builtinId="4"/>
    <cellStyle name="Normal" xfId="0" builtinId="0"/>
    <cellStyle name="Porcentagem" xfId="2" builtinId="5"/>
    <cellStyle name="Vírgula" xfId="1" builtinId="3"/>
  </cellStyles>
  <dxfs count="11">
    <dxf>
      <font>
        <color rgb="FFF3F8B6"/>
      </font>
    </dxf>
    <dxf>
      <font>
        <b/>
        <i val="0"/>
      </font>
      <numFmt numFmtId="0" formatCode="General"/>
      <fill>
        <patternFill>
          <bgColor rgb="FFFF0000"/>
        </patternFill>
      </fill>
    </dxf>
    <dxf>
      <font>
        <b/>
        <i val="0"/>
        <color auto="1"/>
      </font>
      <fill>
        <patternFill>
          <bgColor theme="0" tint="-0.34998626667073579"/>
        </patternFill>
      </fill>
    </dxf>
    <dxf>
      <font>
        <b/>
        <i val="0"/>
      </font>
      <numFmt numFmtId="0" formatCode="General"/>
      <fill>
        <patternFill>
          <bgColor rgb="FFFF0000"/>
        </patternFill>
      </fill>
    </dxf>
    <dxf>
      <font>
        <b/>
        <i val="0"/>
        <color auto="1"/>
      </font>
      <fill>
        <patternFill>
          <bgColor theme="0" tint="-0.34998626667073579"/>
        </patternFill>
      </fill>
    </dxf>
    <dxf>
      <font>
        <b/>
        <i val="0"/>
      </font>
      <numFmt numFmtId="0" formatCode="General"/>
      <fill>
        <patternFill>
          <bgColor rgb="FFFF0000"/>
        </patternFill>
      </fill>
    </dxf>
    <dxf>
      <font>
        <b/>
        <i val="0"/>
        <color auto="1"/>
      </font>
      <fill>
        <patternFill>
          <bgColor theme="0" tint="-0.34998626667073579"/>
        </patternFill>
      </fill>
    </dxf>
    <dxf>
      <font>
        <b/>
        <i val="0"/>
      </font>
      <numFmt numFmtId="0" formatCode="General"/>
      <fill>
        <patternFill>
          <bgColor rgb="FFFF0000"/>
        </patternFill>
      </fill>
    </dxf>
    <dxf>
      <font>
        <b/>
        <i val="0"/>
        <color auto="1"/>
      </font>
      <fill>
        <patternFill>
          <bgColor theme="0" tint="-0.34998626667073579"/>
        </patternFill>
      </fill>
    </dxf>
    <dxf>
      <font>
        <b/>
        <i val="0"/>
      </font>
      <numFmt numFmtId="0" formatCode="General"/>
      <fill>
        <patternFill>
          <bgColor rgb="FFFF0000"/>
        </patternFill>
      </fill>
    </dxf>
    <dxf>
      <font>
        <b/>
        <i val="0"/>
        <color auto="1"/>
      </font>
      <fill>
        <patternFill>
          <bgColor theme="0" tint="-0.34998626667073579"/>
        </patternFill>
      </fill>
    </dxf>
  </dxfs>
  <tableStyles count="1" defaultTableStyle="TableStyleMedium2" defaultPivotStyle="PivotStyleLight16">
    <tableStyle name="Invisible" pivot="0" table="0" count="0" xr9:uid="{CE2FA077-A44A-429C-BFB8-185433067FAA}"/>
  </tableStyles>
  <colors>
    <mruColors>
      <color rgb="FFF3F8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398495</xdr:colOff>
      <xdr:row>1</xdr:row>
      <xdr:rowOff>447091</xdr:rowOff>
    </xdr:from>
    <xdr:to>
      <xdr:col>19</xdr:col>
      <xdr:colOff>97194</xdr:colOff>
      <xdr:row>41</xdr:row>
      <xdr:rowOff>155510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23495" y="641479"/>
          <a:ext cx="3469821" cy="21674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/>
            <a:t>A capacidade de pagamento deve ser conferida</a:t>
          </a:r>
          <a:r>
            <a:rPr lang="pt-BR" sz="1600" b="1" baseline="0"/>
            <a:t> em consulta à conta de negociação, na guia "Dados da Capacidade de Pagamento". Deve ser informada o dado exibido no campo "Impacto na geração de receita/rendimento", no quado do lado direito.</a:t>
          </a:r>
          <a:endParaRPr lang="pt-BR" sz="1600" b="1"/>
        </a:p>
      </xdr:txBody>
    </xdr:sp>
    <xdr:clientData/>
  </xdr:twoCellAnchor>
  <xdr:twoCellAnchor>
    <xdr:from>
      <xdr:col>10</xdr:col>
      <xdr:colOff>165229</xdr:colOff>
      <xdr:row>3</xdr:row>
      <xdr:rowOff>48597</xdr:rowOff>
    </xdr:from>
    <xdr:to>
      <xdr:col>13</xdr:col>
      <xdr:colOff>291582</xdr:colOff>
      <xdr:row>6</xdr:row>
      <xdr:rowOff>116632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6978520" y="981658"/>
          <a:ext cx="2838062" cy="884464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330459</xdr:colOff>
      <xdr:row>41</xdr:row>
      <xdr:rowOff>165229</xdr:rowOff>
    </xdr:from>
    <xdr:to>
      <xdr:col>26</xdr:col>
      <xdr:colOff>155510</xdr:colOff>
      <xdr:row>49</xdr:row>
      <xdr:rowOff>47167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D3197E2-E89A-FBA4-9877-DF1937570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5459" y="2818622"/>
          <a:ext cx="7610281" cy="1417601"/>
        </a:xfrm>
        <a:prstGeom prst="rect">
          <a:avLst/>
        </a:prstGeom>
      </xdr:spPr>
    </xdr:pic>
    <xdr:clientData/>
  </xdr:twoCellAnchor>
  <xdr:twoCellAnchor>
    <xdr:from>
      <xdr:col>15</xdr:col>
      <xdr:colOff>417934</xdr:colOff>
      <xdr:row>36</xdr:row>
      <xdr:rowOff>48597</xdr:rowOff>
    </xdr:from>
    <xdr:to>
      <xdr:col>19</xdr:col>
      <xdr:colOff>534567</xdr:colOff>
      <xdr:row>45</xdr:row>
      <xdr:rowOff>165229</xdr:rowOff>
    </xdr:to>
    <xdr:cxnSp macro="">
      <xdr:nvCxnSpPr>
        <xdr:cNvPr id="9" name="Conector de Seta Reta 8">
          <a:extLst>
            <a:ext uri="{FF2B5EF4-FFF2-40B4-BE49-F238E27FC236}">
              <a16:creationId xmlns:a16="http://schemas.microsoft.com/office/drawing/2014/main" id="{80B1470C-4EF0-731A-AA52-9E672B14F044}"/>
            </a:ext>
          </a:extLst>
        </xdr:cNvPr>
        <xdr:cNvCxnSpPr/>
      </xdr:nvCxnSpPr>
      <xdr:spPr>
        <a:xfrm>
          <a:off x="11420281" y="2575638"/>
          <a:ext cx="2410408" cy="1020535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163560</xdr:colOff>
      <xdr:row>6</xdr:row>
      <xdr:rowOff>76971</xdr:rowOff>
    </xdr:from>
    <xdr:to>
      <xdr:col>30</xdr:col>
      <xdr:colOff>148955</xdr:colOff>
      <xdr:row>13</xdr:row>
      <xdr:rowOff>38484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60" y="1654850"/>
          <a:ext cx="10761153" cy="1308483"/>
        </a:xfrm>
        <a:prstGeom prst="rect">
          <a:avLst/>
        </a:prstGeom>
      </xdr:spPr>
    </xdr:pic>
    <xdr:clientData/>
  </xdr:twoCellAnchor>
  <xdr:twoCellAnchor>
    <xdr:from>
      <xdr:col>28</xdr:col>
      <xdr:colOff>48108</xdr:colOff>
      <xdr:row>3</xdr:row>
      <xdr:rowOff>192425</xdr:rowOff>
    </xdr:from>
    <xdr:to>
      <xdr:col>34</xdr:col>
      <xdr:colOff>471441</xdr:colOff>
      <xdr:row>7</xdr:row>
      <xdr:rowOff>153940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351820" y="894773"/>
          <a:ext cx="5272424" cy="10294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/>
            <a:t>Nesse campo</a:t>
          </a:r>
          <a:r>
            <a:rPr lang="pt-BR" sz="1400" b="1" baseline="0"/>
            <a:t> devem ser informados os valores originais negociados. Os valores podem ser encontrado em contula à conta de negociação, na guia DÉBITOS. Apenas os valores TOTAIS devem ser informados, como no exemplo.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3</xdr:row>
          <xdr:rowOff>257175</xdr:rowOff>
        </xdr:from>
        <xdr:to>
          <xdr:col>17</xdr:col>
          <xdr:colOff>0</xdr:colOff>
          <xdr:row>5</xdr:row>
          <xdr:rowOff>47625</xdr:rowOff>
        </xdr:to>
        <xdr:sp macro="" textlink="">
          <xdr:nvSpPr>
            <xdr:cNvPr id="1042" name="Group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Selecione a Modalidade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GFN/Downloads/FINAL%20-%20PLANILHA%20CAPACIDADE%20DE%20PAGAMENTO%20-%20CAPAG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GFN/Downloads/PLANILHA%20SIMULA&#199;&#195;O%20NOVO%20ACORDO%20DE%20TRANSA&#199;&#195;O%20-%20vers&#227;o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ÇÃO"/>
    </sheetNames>
    <sheetDataSet>
      <sheetData sheetId="0">
        <row r="54">
          <cell r="A54" t="str">
            <v>Empresários individuais, microempresas, empresas de pequeno porte, instituições de ensino, Santas Casas de Misericórdia, sociedades cooperativas e demais organizações da sociedade civil de que trata a Lei n. 13.019, de 31 de julho de 2014.</v>
          </cell>
        </row>
        <row r="55">
          <cell r="A55" t="str">
            <v>Demais pessoas jurídicas.</v>
          </cell>
        </row>
        <row r="56">
          <cell r="A56" t="str">
            <v>Pessoas físicas.</v>
          </cell>
        </row>
        <row r="57">
          <cell r="A57" t="str">
            <v>Devedores com personalidade jurídica de direito público.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R $ INSCRIÇÕES"/>
      <sheetName val="CÁLCULO"/>
      <sheetName val="Planilha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CE94B-8B39-4F63-9060-932EB8F636E6}">
  <sheetPr codeName="Planilha3">
    <pageSetUpPr fitToPage="1"/>
  </sheetPr>
  <dimension ref="A2:M61"/>
  <sheetViews>
    <sheetView showGridLines="0" tabSelected="1" topLeftCell="D1" zoomScale="98" zoomScaleNormal="98" workbookViewId="0">
      <selection activeCell="I7" sqref="I7"/>
    </sheetView>
  </sheetViews>
  <sheetFormatPr defaultColWidth="8.5703125" defaultRowHeight="15" x14ac:dyDescent="0.25"/>
  <cols>
    <col min="1" max="1" width="46.85546875" style="13" hidden="1" customWidth="1"/>
    <col min="2" max="2" width="10.42578125" style="14" hidden="1" customWidth="1"/>
    <col min="3" max="3" width="4.85546875" style="13" hidden="1" customWidth="1"/>
    <col min="4" max="4" width="3.5703125" style="14" customWidth="1"/>
    <col min="5" max="5" width="2.5703125" style="14" customWidth="1"/>
    <col min="6" max="6" width="2.140625" customWidth="1"/>
    <col min="7" max="7" width="16.5703125" customWidth="1"/>
    <col min="8" max="8" width="21.42578125" customWidth="1"/>
    <col min="9" max="9" width="53.140625" customWidth="1"/>
    <col min="10" max="10" width="2.42578125" customWidth="1"/>
    <col min="11" max="11" width="2.85546875" customWidth="1"/>
    <col min="12" max="12" width="35.140625" customWidth="1"/>
    <col min="13" max="13" width="2.5703125" customWidth="1"/>
    <col min="14" max="14" width="13.5703125" bestFit="1" customWidth="1"/>
  </cols>
  <sheetData>
    <row r="2" spans="1:13" ht="48" customHeight="1" thickBot="1" x14ac:dyDescent="0.3">
      <c r="E2" s="15"/>
      <c r="F2" s="143" t="s">
        <v>44</v>
      </c>
      <c r="G2" s="143"/>
      <c r="H2" s="143"/>
      <c r="I2" s="143"/>
      <c r="J2" s="143"/>
      <c r="K2" s="143"/>
      <c r="L2" s="143"/>
      <c r="M2" s="16"/>
    </row>
    <row r="3" spans="1:13" ht="9.9499999999999993" customHeight="1" thickTop="1" x14ac:dyDescent="0.25">
      <c r="E3" s="17"/>
      <c r="F3" s="18"/>
      <c r="G3" s="19"/>
      <c r="H3" s="19"/>
      <c r="I3" s="19"/>
      <c r="J3" s="20"/>
      <c r="L3" s="144" t="str">
        <f>IFERROR(IF(AND(I5="",I7=""),"INFORME DATA DE ADESÃO, CAPACIDADE DE PAGAMENTO EM 60 MESES E VALOR DA DÍVIDA NA DATA DA ADESÃO",IF(I5="","INFORME DATA DE ADESÃO",IF(I6="","SELECIONE O TIPO DE CONTRIBUINTE",IF(I7="","INFORME CAPACIDADE DE PAGAMENTO EM 60 MESES",IF(I8="","INFORME VALOR DA DÍVIDA",IF(VLOOKUP("INFORME VALOR DA RECEITA/RENDIMENTO PARA O PERÍODO",I12:I35,1,0)="INFORME VALOR DA RECEITA/RENDIMENTO PARA O PERÍODO","INFORME A RECEITA/RENDIMENTO DE TODOS OS PERÍODOS ANTERIORES AO MÊS/ANO: "&amp;TEXT(MONTH(B5),"00")&amp;"/"&amp;YEAR(B5)&amp;".","")))))),"")</f>
        <v>INFORME CAPACIDADE DE PAGAMENTO EM 60 MESES</v>
      </c>
      <c r="M3" s="21"/>
    </row>
    <row r="4" spans="1:13" ht="14.45" customHeight="1" x14ac:dyDescent="0.25">
      <c r="E4" s="17"/>
      <c r="F4" s="47"/>
      <c r="G4" s="26" t="s">
        <v>67</v>
      </c>
      <c r="H4" s="50"/>
      <c r="I4" s="118"/>
      <c r="J4" s="117"/>
      <c r="L4" s="144"/>
      <c r="M4" s="21"/>
    </row>
    <row r="5" spans="1:13" s="28" customFormat="1" ht="15.95" hidden="1" customHeight="1" x14ac:dyDescent="0.25">
      <c r="A5" s="22"/>
      <c r="B5" s="23" t="str">
        <f>IF(I5="","",MONTH(I5)&amp;"/"&amp;YEAR(I5))</f>
        <v>6/2022</v>
      </c>
      <c r="C5" s="22"/>
      <c r="D5" s="23"/>
      <c r="E5" s="24"/>
      <c r="F5" s="25"/>
      <c r="G5" s="26" t="s">
        <v>45</v>
      </c>
      <c r="H5" s="26"/>
      <c r="I5" s="112">
        <v>44713</v>
      </c>
      <c r="J5" s="27"/>
      <c r="L5" s="144"/>
      <c r="M5" s="29"/>
    </row>
    <row r="6" spans="1:13" s="28" customFormat="1" ht="49.5" customHeight="1" x14ac:dyDescent="0.25">
      <c r="A6" s="30" t="str">
        <f>I6</f>
        <v>Pessoas físicas.</v>
      </c>
      <c r="B6" s="23"/>
      <c r="C6" s="22"/>
      <c r="D6" s="23"/>
      <c r="E6" s="24"/>
      <c r="F6" s="25"/>
      <c r="G6" s="26" t="s">
        <v>46</v>
      </c>
      <c r="H6" s="26"/>
      <c r="I6" s="131" t="s">
        <v>20</v>
      </c>
      <c r="J6" s="27"/>
      <c r="L6" s="144"/>
      <c r="M6" s="29"/>
    </row>
    <row r="7" spans="1:13" s="28" customFormat="1" ht="15.95" customHeight="1" x14ac:dyDescent="0.25">
      <c r="A7" s="22"/>
      <c r="B7" s="23"/>
      <c r="C7" s="22"/>
      <c r="D7" s="23"/>
      <c r="E7" s="24"/>
      <c r="F7" s="25"/>
      <c r="G7" s="26" t="s">
        <v>47</v>
      </c>
      <c r="H7" s="26"/>
      <c r="I7" s="12"/>
      <c r="J7" s="27"/>
      <c r="L7" s="144"/>
      <c r="M7" s="29"/>
    </row>
    <row r="8" spans="1:13" s="28" customFormat="1" ht="15.95" customHeight="1" x14ac:dyDescent="0.25">
      <c r="A8" s="22"/>
      <c r="B8" s="23"/>
      <c r="C8" s="22"/>
      <c r="D8" s="23"/>
      <c r="E8" s="24"/>
      <c r="F8" s="25"/>
      <c r="G8" s="145" t="s">
        <v>48</v>
      </c>
      <c r="H8" s="145"/>
      <c r="I8" s="128" t="str">
        <f>IF('VALOR NEGOCIADO'!G5="PREENCHA O VALOR","",'VALOR NEGOCIADO'!G5)</f>
        <v/>
      </c>
      <c r="J8" s="27"/>
      <c r="L8" s="144"/>
      <c r="M8" s="29"/>
    </row>
    <row r="9" spans="1:13" ht="9.9499999999999993" customHeight="1" thickBot="1" x14ac:dyDescent="0.3">
      <c r="B9" s="123">
        <f>IF(YEAR(I5)=2021,13,MONTH(B5))</f>
        <v>6</v>
      </c>
      <c r="C9" s="31"/>
      <c r="D9" s="32"/>
      <c r="E9" s="33"/>
      <c r="F9" s="34"/>
      <c r="G9" s="35"/>
      <c r="H9" s="35"/>
      <c r="I9" s="35"/>
      <c r="J9" s="36"/>
      <c r="L9" s="144"/>
      <c r="M9" s="21"/>
    </row>
    <row r="10" spans="1:13" ht="22.5" hidden="1" customHeight="1" thickTop="1" x14ac:dyDescent="0.25">
      <c r="B10" s="32" t="str">
        <f>IFERROR(VLOOKUP(B5,B12:C35,2,0),"0")</f>
        <v>0</v>
      </c>
      <c r="C10" s="31"/>
      <c r="D10" s="32"/>
      <c r="E10" s="33"/>
      <c r="M10" s="21"/>
    </row>
    <row r="11" spans="1:13" ht="22.5" hidden="1" customHeight="1" x14ac:dyDescent="0.25">
      <c r="E11" s="17"/>
      <c r="G11" s="37" t="s">
        <v>49</v>
      </c>
      <c r="H11" s="37" t="s">
        <v>50</v>
      </c>
      <c r="I11" s="38"/>
      <c r="J11" s="39"/>
      <c r="K11" s="39"/>
      <c r="L11" s="40" t="s">
        <v>51</v>
      </c>
      <c r="M11" s="21"/>
    </row>
    <row r="12" spans="1:13" hidden="1" x14ac:dyDescent="0.25">
      <c r="A12" s="13">
        <f>IF(AND(H12&gt;=3,H12&lt;$B$9),0,1)</f>
        <v>1</v>
      </c>
      <c r="B12" s="14" t="str">
        <f>H12&amp;"/"&amp;G12</f>
        <v>1/2019</v>
      </c>
      <c r="C12" s="13">
        <v>1</v>
      </c>
      <c r="E12" s="17"/>
      <c r="G12" s="41">
        <v>2019</v>
      </c>
      <c r="H12" s="41">
        <v>1</v>
      </c>
      <c r="I12" s="134" t="str">
        <f t="shared" ref="I12:I35" si="0">IF($B$5="","INFORME VALOR DA RECEITA/RENDIMENTO PARA O PERÍODO",IF($B$5=B12,"ADESÃO",IF(AND(L12="",C12&lt;$B$10),"INFORME VALOR DA RECEITA/RENDIMENTO PARA O PERÍODO","")))</f>
        <v/>
      </c>
      <c r="J12" s="134"/>
      <c r="K12" s="42"/>
      <c r="L12" s="8">
        <v>0</v>
      </c>
      <c r="M12" s="21"/>
    </row>
    <row r="13" spans="1:13" hidden="1" x14ac:dyDescent="0.25">
      <c r="A13" s="13">
        <f>IF(AND(H13&gt;=3,H13&lt;$B$9),0,1)</f>
        <v>1</v>
      </c>
      <c r="B13" s="14" t="str">
        <f t="shared" ref="B13:B35" si="1">H13&amp;"/"&amp;G13</f>
        <v>2/2019</v>
      </c>
      <c r="C13" s="13">
        <v>2</v>
      </c>
      <c r="E13" s="17"/>
      <c r="G13" s="41">
        <v>2019</v>
      </c>
      <c r="H13" s="41">
        <v>2</v>
      </c>
      <c r="I13" s="134" t="str">
        <f t="shared" si="0"/>
        <v/>
      </c>
      <c r="J13" s="134"/>
      <c r="K13" s="43"/>
      <c r="L13" s="8">
        <v>0</v>
      </c>
      <c r="M13" s="21"/>
    </row>
    <row r="14" spans="1:13" hidden="1" x14ac:dyDescent="0.25">
      <c r="A14" s="13">
        <v>0</v>
      </c>
      <c r="B14" s="14" t="str">
        <f t="shared" si="1"/>
        <v>3/2019</v>
      </c>
      <c r="C14" s="13">
        <v>3</v>
      </c>
      <c r="E14" s="17"/>
      <c r="G14" s="41">
        <v>2019</v>
      </c>
      <c r="H14" s="41">
        <v>3</v>
      </c>
      <c r="I14" s="134" t="str">
        <f t="shared" si="0"/>
        <v/>
      </c>
      <c r="J14" s="134"/>
      <c r="K14" s="43"/>
      <c r="L14" s="8">
        <v>0</v>
      </c>
      <c r="M14" s="44"/>
    </row>
    <row r="15" spans="1:13" hidden="1" x14ac:dyDescent="0.25">
      <c r="A15" s="13">
        <v>0</v>
      </c>
      <c r="B15" s="14" t="str">
        <f t="shared" si="1"/>
        <v>4/2019</v>
      </c>
      <c r="C15" s="13">
        <v>4</v>
      </c>
      <c r="E15" s="17"/>
      <c r="G15" s="41">
        <v>2019</v>
      </c>
      <c r="H15" s="41">
        <v>4</v>
      </c>
      <c r="I15" s="134" t="str">
        <f t="shared" si="0"/>
        <v/>
      </c>
      <c r="J15" s="134"/>
      <c r="K15" s="43"/>
      <c r="L15" s="8">
        <v>0</v>
      </c>
      <c r="M15" s="21"/>
    </row>
    <row r="16" spans="1:13" hidden="1" x14ac:dyDescent="0.25">
      <c r="A16" s="13">
        <v>0</v>
      </c>
      <c r="B16" s="14" t="str">
        <f t="shared" si="1"/>
        <v>5/2019</v>
      </c>
      <c r="C16" s="13">
        <v>5</v>
      </c>
      <c r="E16" s="17"/>
      <c r="G16" s="41">
        <v>2019</v>
      </c>
      <c r="H16" s="41">
        <v>5</v>
      </c>
      <c r="I16" s="134" t="str">
        <f t="shared" si="0"/>
        <v/>
      </c>
      <c r="J16" s="134"/>
      <c r="K16" s="43"/>
      <c r="L16" s="8">
        <v>0</v>
      </c>
      <c r="M16" s="21"/>
    </row>
    <row r="17" spans="1:13" hidden="1" x14ac:dyDescent="0.25">
      <c r="A17" s="13">
        <v>0</v>
      </c>
      <c r="B17" s="14" t="str">
        <f t="shared" si="1"/>
        <v>6/2019</v>
      </c>
      <c r="C17" s="13">
        <v>6</v>
      </c>
      <c r="E17" s="17"/>
      <c r="G17" s="41">
        <v>2019</v>
      </c>
      <c r="H17" s="41">
        <v>6</v>
      </c>
      <c r="I17" s="134" t="str">
        <f t="shared" si="0"/>
        <v/>
      </c>
      <c r="J17" s="134"/>
      <c r="K17" s="43"/>
      <c r="L17" s="8">
        <v>0</v>
      </c>
      <c r="M17" s="21"/>
    </row>
    <row r="18" spans="1:13" hidden="1" x14ac:dyDescent="0.25">
      <c r="A18" s="13">
        <v>0</v>
      </c>
      <c r="B18" s="14" t="str">
        <f t="shared" si="1"/>
        <v>7/2019</v>
      </c>
      <c r="C18" s="13">
        <v>7</v>
      </c>
      <c r="E18" s="17"/>
      <c r="G18" s="41">
        <v>2019</v>
      </c>
      <c r="H18" s="41">
        <v>7</v>
      </c>
      <c r="I18" s="134" t="str">
        <f t="shared" si="0"/>
        <v/>
      </c>
      <c r="J18" s="134"/>
      <c r="K18" s="43"/>
      <c r="L18" s="8">
        <v>0</v>
      </c>
      <c r="M18" s="21"/>
    </row>
    <row r="19" spans="1:13" hidden="1" x14ac:dyDescent="0.25">
      <c r="A19" s="13">
        <v>0</v>
      </c>
      <c r="B19" s="14" t="str">
        <f t="shared" si="1"/>
        <v>8/2019</v>
      </c>
      <c r="C19" s="13">
        <v>8</v>
      </c>
      <c r="E19" s="17"/>
      <c r="G19" s="41">
        <v>2019</v>
      </c>
      <c r="H19" s="41">
        <v>8</v>
      </c>
      <c r="I19" s="134" t="str">
        <f t="shared" si="0"/>
        <v/>
      </c>
      <c r="J19" s="134"/>
      <c r="K19" s="43"/>
      <c r="L19" s="8">
        <v>0</v>
      </c>
      <c r="M19" s="21"/>
    </row>
    <row r="20" spans="1:13" hidden="1" x14ac:dyDescent="0.25">
      <c r="A20" s="13">
        <v>0</v>
      </c>
      <c r="B20" s="14" t="str">
        <f t="shared" si="1"/>
        <v>9/2019</v>
      </c>
      <c r="C20" s="13">
        <v>9</v>
      </c>
      <c r="E20" s="17"/>
      <c r="G20" s="41">
        <v>2019</v>
      </c>
      <c r="H20" s="41">
        <v>9</v>
      </c>
      <c r="I20" s="134" t="str">
        <f t="shared" si="0"/>
        <v/>
      </c>
      <c r="J20" s="134"/>
      <c r="K20" s="43"/>
      <c r="L20" s="8">
        <v>0</v>
      </c>
      <c r="M20" s="21"/>
    </row>
    <row r="21" spans="1:13" hidden="1" x14ac:dyDescent="0.25">
      <c r="A21" s="13">
        <v>0</v>
      </c>
      <c r="B21" s="14" t="str">
        <f t="shared" si="1"/>
        <v>10/2019</v>
      </c>
      <c r="C21" s="13">
        <v>10</v>
      </c>
      <c r="E21" s="17"/>
      <c r="G21" s="41">
        <v>2019</v>
      </c>
      <c r="H21" s="41">
        <v>10</v>
      </c>
      <c r="I21" s="134" t="str">
        <f t="shared" si="0"/>
        <v/>
      </c>
      <c r="J21" s="134"/>
      <c r="K21" s="43"/>
      <c r="L21" s="8">
        <v>0</v>
      </c>
      <c r="M21" s="21"/>
    </row>
    <row r="22" spans="1:13" hidden="1" x14ac:dyDescent="0.25">
      <c r="A22" s="13">
        <v>0</v>
      </c>
      <c r="B22" s="14" t="str">
        <f t="shared" si="1"/>
        <v>11/2019</v>
      </c>
      <c r="C22" s="13">
        <v>11</v>
      </c>
      <c r="E22" s="17"/>
      <c r="G22" s="41">
        <v>2019</v>
      </c>
      <c r="H22" s="41">
        <v>11</v>
      </c>
      <c r="I22" s="134" t="str">
        <f t="shared" si="0"/>
        <v/>
      </c>
      <c r="J22" s="134"/>
      <c r="K22" s="43"/>
      <c r="L22" s="8">
        <v>0</v>
      </c>
      <c r="M22" s="21"/>
    </row>
    <row r="23" spans="1:13" hidden="1" x14ac:dyDescent="0.25">
      <c r="A23" s="13">
        <v>0</v>
      </c>
      <c r="B23" s="14" t="str">
        <f t="shared" si="1"/>
        <v>12/2019</v>
      </c>
      <c r="C23" s="13">
        <v>12</v>
      </c>
      <c r="E23" s="17"/>
      <c r="G23" s="41">
        <v>2019</v>
      </c>
      <c r="H23" s="41">
        <v>12</v>
      </c>
      <c r="I23" s="134" t="str">
        <f t="shared" si="0"/>
        <v/>
      </c>
      <c r="J23" s="134"/>
      <c r="K23" s="43"/>
      <c r="L23" s="8">
        <v>0</v>
      </c>
      <c r="M23" s="21"/>
    </row>
    <row r="24" spans="1:13" hidden="1" x14ac:dyDescent="0.25">
      <c r="A24" s="13">
        <f t="shared" ref="A24:A25" si="2">IF(AND(H24&gt;=3,H24&lt;$B$9),0,1)</f>
        <v>1</v>
      </c>
      <c r="B24" s="14" t="str">
        <f t="shared" si="1"/>
        <v>1/2020</v>
      </c>
      <c r="C24" s="13">
        <v>13</v>
      </c>
      <c r="E24" s="17"/>
      <c r="G24" s="41">
        <v>2020</v>
      </c>
      <c r="H24" s="41">
        <v>1</v>
      </c>
      <c r="I24" s="134" t="str">
        <f t="shared" si="0"/>
        <v/>
      </c>
      <c r="J24" s="134"/>
      <c r="K24" s="43"/>
      <c r="L24" s="8">
        <v>0</v>
      </c>
      <c r="M24" s="21"/>
    </row>
    <row r="25" spans="1:13" hidden="1" x14ac:dyDescent="0.25">
      <c r="A25" s="13">
        <f t="shared" si="2"/>
        <v>1</v>
      </c>
      <c r="B25" s="14" t="str">
        <f t="shared" si="1"/>
        <v>2/2020</v>
      </c>
      <c r="C25" s="13">
        <v>14</v>
      </c>
      <c r="E25" s="17"/>
      <c r="G25" s="41">
        <v>2020</v>
      </c>
      <c r="H25" s="41">
        <v>2</v>
      </c>
      <c r="I25" s="134" t="str">
        <f t="shared" si="0"/>
        <v/>
      </c>
      <c r="J25" s="134"/>
      <c r="K25" s="43"/>
      <c r="L25" s="8">
        <v>0</v>
      </c>
      <c r="M25" s="21"/>
    </row>
    <row r="26" spans="1:13" hidden="1" x14ac:dyDescent="0.25">
      <c r="A26" s="13">
        <v>0</v>
      </c>
      <c r="B26" s="14" t="str">
        <f t="shared" si="1"/>
        <v>3/2020</v>
      </c>
      <c r="C26" s="13">
        <v>15</v>
      </c>
      <c r="E26" s="17"/>
      <c r="G26" s="41">
        <v>2020</v>
      </c>
      <c r="H26" s="41">
        <v>3</v>
      </c>
      <c r="I26" s="134" t="str">
        <f t="shared" si="0"/>
        <v/>
      </c>
      <c r="J26" s="134"/>
      <c r="K26" s="43"/>
      <c r="L26" s="8">
        <v>0</v>
      </c>
      <c r="M26" s="44"/>
    </row>
    <row r="27" spans="1:13" ht="13.5" hidden="1" customHeight="1" x14ac:dyDescent="0.25">
      <c r="A27" s="13">
        <v>0</v>
      </c>
      <c r="B27" s="14" t="str">
        <f t="shared" si="1"/>
        <v>4/2020</v>
      </c>
      <c r="C27" s="13">
        <v>16</v>
      </c>
      <c r="E27" s="17"/>
      <c r="G27" s="41">
        <v>2020</v>
      </c>
      <c r="H27" s="41">
        <v>4</v>
      </c>
      <c r="I27" s="134" t="str">
        <f t="shared" si="0"/>
        <v/>
      </c>
      <c r="J27" s="134"/>
      <c r="K27" s="43"/>
      <c r="L27" s="8">
        <v>0</v>
      </c>
      <c r="M27" s="21"/>
    </row>
    <row r="28" spans="1:13" hidden="1" x14ac:dyDescent="0.25">
      <c r="A28" s="13">
        <v>0</v>
      </c>
      <c r="B28" s="14" t="str">
        <f t="shared" si="1"/>
        <v>5/2020</v>
      </c>
      <c r="C28" s="13">
        <v>17</v>
      </c>
      <c r="E28" s="17"/>
      <c r="G28" s="41">
        <v>2020</v>
      </c>
      <c r="H28" s="41">
        <v>5</v>
      </c>
      <c r="I28" s="134" t="str">
        <f t="shared" si="0"/>
        <v/>
      </c>
      <c r="J28" s="134"/>
      <c r="K28" s="43"/>
      <c r="L28" s="8">
        <v>0</v>
      </c>
      <c r="M28" s="21"/>
    </row>
    <row r="29" spans="1:13" hidden="1" x14ac:dyDescent="0.25">
      <c r="A29" s="13">
        <v>0</v>
      </c>
      <c r="B29" s="14" t="str">
        <f t="shared" si="1"/>
        <v>6/2020</v>
      </c>
      <c r="C29" s="13">
        <v>18</v>
      </c>
      <c r="E29" s="17"/>
      <c r="G29" s="41">
        <v>2020</v>
      </c>
      <c r="H29" s="41">
        <v>6</v>
      </c>
      <c r="I29" s="134" t="str">
        <f t="shared" si="0"/>
        <v/>
      </c>
      <c r="J29" s="134"/>
      <c r="K29" s="43"/>
      <c r="L29" s="8">
        <v>0</v>
      </c>
      <c r="M29" s="21"/>
    </row>
    <row r="30" spans="1:13" hidden="1" x14ac:dyDescent="0.25">
      <c r="A30" s="13">
        <v>0</v>
      </c>
      <c r="B30" s="14" t="str">
        <f t="shared" si="1"/>
        <v>7/2020</v>
      </c>
      <c r="C30" s="13">
        <v>19</v>
      </c>
      <c r="E30" s="17"/>
      <c r="G30" s="41">
        <v>2020</v>
      </c>
      <c r="H30" s="41">
        <v>7</v>
      </c>
      <c r="I30" s="134" t="str">
        <f t="shared" si="0"/>
        <v/>
      </c>
      <c r="J30" s="134"/>
      <c r="K30" s="43"/>
      <c r="L30" s="8">
        <v>0</v>
      </c>
      <c r="M30" s="44"/>
    </row>
    <row r="31" spans="1:13" hidden="1" x14ac:dyDescent="0.25">
      <c r="A31" s="13">
        <v>0</v>
      </c>
      <c r="B31" s="14" t="str">
        <f t="shared" si="1"/>
        <v>8/2020</v>
      </c>
      <c r="C31" s="13">
        <v>20</v>
      </c>
      <c r="E31" s="17"/>
      <c r="G31" s="41">
        <v>2020</v>
      </c>
      <c r="H31" s="41">
        <v>8</v>
      </c>
      <c r="I31" s="134" t="str">
        <f t="shared" si="0"/>
        <v/>
      </c>
      <c r="J31" s="134"/>
      <c r="K31" s="43"/>
      <c r="L31" s="8">
        <v>0</v>
      </c>
      <c r="M31" s="21"/>
    </row>
    <row r="32" spans="1:13" hidden="1" x14ac:dyDescent="0.25">
      <c r="A32" s="13">
        <v>0</v>
      </c>
      <c r="B32" s="14" t="str">
        <f t="shared" si="1"/>
        <v>9/2020</v>
      </c>
      <c r="C32" s="13">
        <v>21</v>
      </c>
      <c r="E32" s="17"/>
      <c r="G32" s="41">
        <v>2020</v>
      </c>
      <c r="H32" s="41">
        <v>9</v>
      </c>
      <c r="I32" s="134" t="str">
        <f t="shared" si="0"/>
        <v/>
      </c>
      <c r="J32" s="134"/>
      <c r="K32" s="43"/>
      <c r="L32" s="8">
        <v>0</v>
      </c>
      <c r="M32" s="21"/>
    </row>
    <row r="33" spans="1:13" hidden="1" x14ac:dyDescent="0.25">
      <c r="A33" s="13">
        <v>0</v>
      </c>
      <c r="B33" s="14" t="str">
        <f t="shared" si="1"/>
        <v>10/2020</v>
      </c>
      <c r="C33" s="13">
        <v>22</v>
      </c>
      <c r="E33" s="17"/>
      <c r="G33" s="41">
        <v>2020</v>
      </c>
      <c r="H33" s="41">
        <v>10</v>
      </c>
      <c r="I33" s="134" t="str">
        <f t="shared" si="0"/>
        <v/>
      </c>
      <c r="J33" s="134"/>
      <c r="K33" s="43"/>
      <c r="L33" s="8">
        <v>0</v>
      </c>
      <c r="M33" s="21"/>
    </row>
    <row r="34" spans="1:13" hidden="1" x14ac:dyDescent="0.25">
      <c r="A34" s="13">
        <v>0</v>
      </c>
      <c r="B34" s="14" t="str">
        <f t="shared" si="1"/>
        <v>11/2020</v>
      </c>
      <c r="C34" s="13">
        <v>23</v>
      </c>
      <c r="E34" s="17"/>
      <c r="G34" s="41">
        <v>2020</v>
      </c>
      <c r="H34" s="41">
        <v>11</v>
      </c>
      <c r="I34" s="134" t="str">
        <f t="shared" si="0"/>
        <v/>
      </c>
      <c r="J34" s="134"/>
      <c r="K34" s="43"/>
      <c r="L34" s="8">
        <v>0</v>
      </c>
      <c r="M34" s="21"/>
    </row>
    <row r="35" spans="1:13" hidden="1" x14ac:dyDescent="0.25">
      <c r="A35" s="13">
        <v>0</v>
      </c>
      <c r="B35" s="14" t="str">
        <f t="shared" si="1"/>
        <v>12/2020</v>
      </c>
      <c r="C35" s="13">
        <v>24</v>
      </c>
      <c r="E35" s="17"/>
      <c r="G35" s="41">
        <v>2020</v>
      </c>
      <c r="H35" s="41">
        <v>12</v>
      </c>
      <c r="I35" s="134" t="str">
        <f t="shared" si="0"/>
        <v/>
      </c>
      <c r="J35" s="134"/>
      <c r="K35" s="43"/>
      <c r="L35" s="8">
        <v>0</v>
      </c>
      <c r="M35" s="21"/>
    </row>
    <row r="36" spans="1:13" ht="20.100000000000001" customHeight="1" thickBot="1" x14ac:dyDescent="0.3">
      <c r="A36"/>
      <c r="B36"/>
      <c r="C36"/>
      <c r="D36"/>
      <c r="E36" s="45"/>
      <c r="M36" s="21"/>
    </row>
    <row r="37" spans="1:13" ht="9.9499999999999993" customHeight="1" thickTop="1" x14ac:dyDescent="0.25">
      <c r="A37"/>
      <c r="B37"/>
      <c r="C37"/>
      <c r="D37"/>
      <c r="E37" s="45"/>
      <c r="F37" s="18"/>
      <c r="G37" s="46"/>
      <c r="H37" s="46"/>
      <c r="I37" s="46"/>
      <c r="J37" s="46"/>
      <c r="K37" s="46"/>
      <c r="L37" s="20"/>
      <c r="M37" s="21"/>
    </row>
    <row r="38" spans="1:13" hidden="1" x14ac:dyDescent="0.25">
      <c r="E38" s="17"/>
      <c r="F38" s="47"/>
      <c r="G38" t="s">
        <v>52</v>
      </c>
      <c r="J38" s="135">
        <f>SUMIF($A$12:$A$23,0,$L$12:$L$23)</f>
        <v>0</v>
      </c>
      <c r="K38" s="135"/>
      <c r="L38" s="136"/>
      <c r="M38" s="21"/>
    </row>
    <row r="39" spans="1:13" hidden="1" x14ac:dyDescent="0.25">
      <c r="E39" s="17"/>
      <c r="F39" s="47"/>
      <c r="G39" t="s">
        <v>53</v>
      </c>
      <c r="J39" s="135">
        <f>SUMIF($A$24:$A$35,0,$L$24:$L$35)</f>
        <v>0</v>
      </c>
      <c r="K39" s="135"/>
      <c r="L39" s="136"/>
      <c r="M39" s="21"/>
    </row>
    <row r="40" spans="1:13" hidden="1" x14ac:dyDescent="0.25">
      <c r="E40" s="17"/>
      <c r="F40" s="47"/>
      <c r="G40" t="s">
        <v>54</v>
      </c>
      <c r="J40" s="137">
        <f>IF(J38=0,0,(J39-J38)/J38)</f>
        <v>0</v>
      </c>
      <c r="K40" s="137"/>
      <c r="L40" s="138"/>
      <c r="M40" s="21"/>
    </row>
    <row r="41" spans="1:13" hidden="1" x14ac:dyDescent="0.25">
      <c r="E41" s="17"/>
      <c r="F41" s="47"/>
      <c r="G41" t="s">
        <v>55</v>
      </c>
      <c r="J41" s="139">
        <f>IF(J40&lt;0,J40,0)</f>
        <v>0</v>
      </c>
      <c r="K41" s="139"/>
      <c r="L41" s="140"/>
      <c r="M41" s="21"/>
    </row>
    <row r="42" spans="1:13" x14ac:dyDescent="0.25">
      <c r="A42" s="115" t="str">
        <f>J45</f>
        <v/>
      </c>
      <c r="E42" s="17"/>
      <c r="F42" s="47"/>
      <c r="G42" t="s">
        <v>47</v>
      </c>
      <c r="J42" s="135">
        <f>I7</f>
        <v>0</v>
      </c>
      <c r="K42" s="135"/>
      <c r="L42" s="136"/>
      <c r="M42" s="21"/>
    </row>
    <row r="43" spans="1:13" x14ac:dyDescent="0.25">
      <c r="E43" s="17"/>
      <c r="F43" s="47"/>
      <c r="G43" t="s">
        <v>56</v>
      </c>
      <c r="J43" s="135">
        <f>IF(J41&lt;0,(1+J41)*J42,J42)</f>
        <v>0</v>
      </c>
      <c r="K43" s="135"/>
      <c r="L43" s="136"/>
      <c r="M43" s="21"/>
    </row>
    <row r="44" spans="1:13" x14ac:dyDescent="0.25">
      <c r="E44" s="17"/>
      <c r="F44" s="47"/>
      <c r="G44" t="s">
        <v>57</v>
      </c>
      <c r="J44" s="141" t="str">
        <f>IF(I8="","",IF(($I$8-J42)/$I$8&lt;0,0,IF(($I$8-J42)/$I$8&gt;=$A$61,$A$61,($I$8-J42)/$I$8)))</f>
        <v/>
      </c>
      <c r="K44" s="141"/>
      <c r="L44" s="142"/>
      <c r="M44" s="21"/>
    </row>
    <row r="45" spans="1:13" x14ac:dyDescent="0.25">
      <c r="E45" s="17"/>
      <c r="F45" s="47"/>
      <c r="G45" t="s">
        <v>58</v>
      </c>
      <c r="J45" s="141" t="str">
        <f>IF(I8="","",IF(($I$8-J43)/$I$8&lt;0,0,IF(($I$8-J43)/$I$8&gt;=$A$61,$A$61,($I$8-J43)/$I$8)))</f>
        <v/>
      </c>
      <c r="K45" s="141"/>
      <c r="L45" s="142"/>
      <c r="M45" s="21"/>
    </row>
    <row r="46" spans="1:13" x14ac:dyDescent="0.25">
      <c r="E46" s="17"/>
      <c r="F46" s="47"/>
      <c r="J46" s="10"/>
      <c r="K46" s="10"/>
      <c r="L46" s="11"/>
      <c r="M46" s="21"/>
    </row>
    <row r="47" spans="1:13" ht="18.600000000000001" customHeight="1" x14ac:dyDescent="0.25">
      <c r="E47" s="17"/>
      <c r="F47" s="47"/>
      <c r="G47" s="132" t="str">
        <f>IF(I8="","PREENCHA OS DADOS NA ABA 'VALOR NEGOCIADO'","O desconto na Transação Excepcional poderá ser de até "&amp;ROUND(J45*100,2)&amp;"%")</f>
        <v>PREENCHA OS DADOS NA ABA 'VALOR NEGOCIADO'</v>
      </c>
      <c r="H47" s="132"/>
      <c r="I47" s="132"/>
      <c r="J47" s="132"/>
      <c r="K47" s="132"/>
      <c r="L47" s="133"/>
      <c r="M47" s="21"/>
    </row>
    <row r="48" spans="1:13" ht="9.9499999999999993" customHeight="1" thickBot="1" x14ac:dyDescent="0.3">
      <c r="E48" s="17"/>
      <c r="F48" s="34"/>
      <c r="G48" s="48"/>
      <c r="H48" s="48"/>
      <c r="I48" s="48"/>
      <c r="J48" s="48"/>
      <c r="K48" s="48"/>
      <c r="L48" s="36"/>
      <c r="M48" s="21"/>
    </row>
    <row r="49" spans="1:13" ht="15.75" thickTop="1" x14ac:dyDescent="0.25">
      <c r="E49" s="49"/>
      <c r="F49" s="50"/>
      <c r="G49" s="50"/>
      <c r="H49" s="50"/>
      <c r="I49" s="50"/>
      <c r="J49" s="50"/>
      <c r="K49" s="50"/>
      <c r="L49" s="50"/>
      <c r="M49" s="51"/>
    </row>
    <row r="51" spans="1:13" x14ac:dyDescent="0.25">
      <c r="L51" s="43"/>
    </row>
    <row r="52" spans="1:13" x14ac:dyDescent="0.25">
      <c r="L52" s="52"/>
    </row>
    <row r="53" spans="1:13" x14ac:dyDescent="0.25">
      <c r="L53" s="53"/>
    </row>
    <row r="55" spans="1:13" x14ac:dyDescent="0.25">
      <c r="A55" t="s">
        <v>18</v>
      </c>
      <c r="B55" s="54">
        <v>0.7</v>
      </c>
    </row>
    <row r="56" spans="1:13" x14ac:dyDescent="0.25">
      <c r="A56" t="s">
        <v>19</v>
      </c>
      <c r="B56" s="54">
        <v>0.65</v>
      </c>
    </row>
    <row r="57" spans="1:13" x14ac:dyDescent="0.25">
      <c r="A57" t="s">
        <v>20</v>
      </c>
      <c r="B57" s="54">
        <v>0.7</v>
      </c>
    </row>
    <row r="58" spans="1:13" x14ac:dyDescent="0.25">
      <c r="A58" t="s">
        <v>21</v>
      </c>
      <c r="B58" s="54">
        <v>0.65</v>
      </c>
    </row>
    <row r="59" spans="1:13" x14ac:dyDescent="0.25">
      <c r="A59"/>
      <c r="B59" s="54"/>
    </row>
    <row r="60" spans="1:13" x14ac:dyDescent="0.25">
      <c r="A60"/>
      <c r="B60" s="54"/>
    </row>
    <row r="61" spans="1:13" x14ac:dyDescent="0.25">
      <c r="A61" s="9">
        <f>VLOOKUP(I6,$A$55:$B$60,2,0)</f>
        <v>0.7</v>
      </c>
    </row>
  </sheetData>
  <sheetProtection algorithmName="SHA-512" hashValue="MMFVpRipVea8z2P6RudTbuCjNFnS9BRxYpkEu9vBguT59fdEAvQkSj6WSrqc7w221G+shfcREfhzeEMD/PoxtA==" saltValue="Bur79NchDwV34GRg8BVlXQ==" spinCount="100000" sheet="1" objects="1" scenarios="1" selectLockedCells="1"/>
  <mergeCells count="36">
    <mergeCell ref="I20:J20"/>
    <mergeCell ref="F2:L2"/>
    <mergeCell ref="L3:L9"/>
    <mergeCell ref="G8:H8"/>
    <mergeCell ref="I12:J12"/>
    <mergeCell ref="I13:J13"/>
    <mergeCell ref="I14:J14"/>
    <mergeCell ref="I15:J15"/>
    <mergeCell ref="I16:J16"/>
    <mergeCell ref="I17:J17"/>
    <mergeCell ref="I18:J18"/>
    <mergeCell ref="I19:J19"/>
    <mergeCell ref="I32:J32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G47:L47"/>
    <mergeCell ref="I33:J33"/>
    <mergeCell ref="I34:J34"/>
    <mergeCell ref="I35:J35"/>
    <mergeCell ref="J38:L38"/>
    <mergeCell ref="J39:L39"/>
    <mergeCell ref="J40:L40"/>
    <mergeCell ref="J41:L41"/>
    <mergeCell ref="J42:L42"/>
    <mergeCell ref="J43:L43"/>
    <mergeCell ref="J44:L44"/>
    <mergeCell ref="J45:L45"/>
  </mergeCells>
  <conditionalFormatting sqref="F12:I20 K12:L12 K13:K20 L13:L35">
    <cfRule type="expression" dxfId="10" priority="1">
      <formula>$A12:$A35=0</formula>
    </cfRule>
    <cfRule type="expression" dxfId="9" priority="2">
      <formula>$I12:$I28="ADESÃO"</formula>
    </cfRule>
  </conditionalFormatting>
  <conditionalFormatting sqref="K32 F32:I32">
    <cfRule type="expression" dxfId="8" priority="3">
      <formula>$A32:$A59=0</formula>
    </cfRule>
    <cfRule type="expression" dxfId="7" priority="3">
      <formula>$I32:$I52="ADESÃO"</formula>
    </cfRule>
  </conditionalFormatting>
  <conditionalFormatting sqref="K21:K27 F21:I27">
    <cfRule type="expression" dxfId="6" priority="11">
      <formula>$A21:$A48=0</formula>
    </cfRule>
    <cfRule type="expression" dxfId="5" priority="12">
      <formula>$I21:$I37="ADESÃO"</formula>
    </cfRule>
  </conditionalFormatting>
  <conditionalFormatting sqref="F28:I31 K28:K31">
    <cfRule type="expression" dxfId="4" priority="15">
      <formula>$A28:$A54=0</formula>
    </cfRule>
    <cfRule type="expression" dxfId="3" priority="16">
      <formula>$I28:$I48="ADESÃO"</formula>
    </cfRule>
  </conditionalFormatting>
  <conditionalFormatting sqref="F33:I35 K33:K35">
    <cfRule type="expression" dxfId="2" priority="19">
      <formula>$A33:$A61=0</formula>
    </cfRule>
    <cfRule type="expression" dxfId="1" priority="20">
      <formula>$I33:$I53="ADESÃO"</formula>
    </cfRule>
  </conditionalFormatting>
  <dataValidations count="1">
    <dataValidation type="list" allowBlank="1" showInputMessage="1" showErrorMessage="1" sqref="I6" xr:uid="{604788E0-F2DF-4C1D-810C-E120C3AAE91B}">
      <formula1>$A$55:$A$60</formula1>
    </dataValidation>
  </dataValidations>
  <pageMargins left="0.511811024" right="0.511811024" top="0.78740157499999996" bottom="0.78740157499999996" header="0.31496062000000002" footer="0.31496062000000002"/>
  <pageSetup paperSize="9" scale="6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5D331-FB32-4E84-9AB3-30389321BD36}">
  <sheetPr codeName="Planilha1">
    <pageSetUpPr fitToPage="1"/>
  </sheetPr>
  <dimension ref="B1:AB16"/>
  <sheetViews>
    <sheetView showGridLines="0" topLeftCell="B2" zoomScale="99" zoomScaleNormal="99" workbookViewId="0">
      <selection activeCell="F5" sqref="F5"/>
    </sheetView>
  </sheetViews>
  <sheetFormatPr defaultColWidth="12.140625" defaultRowHeight="15" x14ac:dyDescent="0.25"/>
  <cols>
    <col min="1" max="1" width="2.42578125" style="195" customWidth="1"/>
    <col min="2" max="2" width="22.42578125" style="194" customWidth="1"/>
    <col min="3" max="7" width="22.140625" style="130" customWidth="1"/>
    <col min="8" max="8" width="2.140625" style="195" customWidth="1"/>
    <col min="9" max="9" width="2.140625" style="195" hidden="1" customWidth="1"/>
    <col min="10" max="14" width="15.42578125" style="195" hidden="1" customWidth="1"/>
    <col min="15" max="15" width="10.7109375" style="195" hidden="1" customWidth="1"/>
    <col min="16" max="16" width="9" style="195" hidden="1" customWidth="1"/>
    <col min="17" max="20" width="14.42578125" style="195" hidden="1" customWidth="1"/>
    <col min="21" max="21" width="17.5703125" style="130" hidden="1" customWidth="1"/>
    <col min="22" max="22" width="17.5703125" style="195" hidden="1" customWidth="1"/>
    <col min="23" max="23" width="10.5703125" style="195" hidden="1" customWidth="1"/>
    <col min="24" max="27" width="17.5703125" style="195" hidden="1" customWidth="1"/>
    <col min="28" max="28" width="14.5703125" style="195" hidden="1" customWidth="1"/>
    <col min="29" max="43" width="12.140625" style="195" customWidth="1"/>
    <col min="44" max="16384" width="12.140625" style="195"/>
  </cols>
  <sheetData>
    <row r="1" spans="2:28" customFormat="1" hidden="1" x14ac:dyDescent="0.25">
      <c r="B1" s="3"/>
      <c r="C1" s="4">
        <f>C5</f>
        <v>0</v>
      </c>
      <c r="D1" s="4">
        <f t="shared" ref="D1:G1" si="0">D5</f>
        <v>0</v>
      </c>
      <c r="E1" s="4">
        <f t="shared" si="0"/>
        <v>0</v>
      </c>
      <c r="F1" s="4">
        <f t="shared" si="0"/>
        <v>0</v>
      </c>
      <c r="G1" s="4" t="str">
        <f t="shared" si="0"/>
        <v>PREENCHA O VALOR</v>
      </c>
      <c r="H1" s="4"/>
      <c r="I1" s="4"/>
      <c r="J1" s="4">
        <f>J5</f>
        <v>0</v>
      </c>
      <c r="K1" s="4">
        <f t="shared" ref="K1:N1" si="1">K5</f>
        <v>0</v>
      </c>
      <c r="L1" s="4">
        <f t="shared" si="1"/>
        <v>0</v>
      </c>
      <c r="M1" s="4">
        <f t="shared" si="1"/>
        <v>0</v>
      </c>
      <c r="N1" s="4" t="e">
        <f t="shared" si="1"/>
        <v>#VALUE!</v>
      </c>
      <c r="O1" s="4" t="e">
        <f>G1-N1</f>
        <v>#VALUE!</v>
      </c>
      <c r="P1" s="4">
        <f>P5</f>
        <v>0</v>
      </c>
      <c r="Q1" s="4">
        <f t="shared" ref="Q1:T1" si="2">Q5</f>
        <v>0</v>
      </c>
      <c r="R1" s="4">
        <f t="shared" si="2"/>
        <v>0</v>
      </c>
      <c r="S1" s="4">
        <f t="shared" si="2"/>
        <v>0</v>
      </c>
      <c r="T1" s="4" t="e">
        <f t="shared" si="2"/>
        <v>#VALUE!</v>
      </c>
      <c r="U1" s="7" t="e">
        <f>SUM(U5:U15)</f>
        <v>#VALUE!</v>
      </c>
      <c r="V1" s="4" t="e">
        <f>SUM(V5:V15)</f>
        <v>#VALUE!</v>
      </c>
      <c r="W1" s="4">
        <f>SUM(W5:W15)</f>
        <v>0</v>
      </c>
      <c r="X1" s="4">
        <f>X5</f>
        <v>0</v>
      </c>
      <c r="Y1" s="4">
        <f t="shared" ref="Y1:AA1" si="3">Y5</f>
        <v>0</v>
      </c>
      <c r="Z1" s="4">
        <f t="shared" si="3"/>
        <v>0</v>
      </c>
      <c r="AA1" s="4">
        <f t="shared" si="3"/>
        <v>0</v>
      </c>
    </row>
    <row r="2" spans="2:28" customFormat="1" x14ac:dyDescent="0.25">
      <c r="B2" s="3"/>
      <c r="C2" s="4"/>
      <c r="U2" s="7"/>
      <c r="V2" s="4">
        <f>SUM(Q5:S5)</f>
        <v>0</v>
      </c>
    </row>
    <row r="3" spans="2:28" customFormat="1" ht="40.5" customHeight="1" x14ac:dyDescent="0.25">
      <c r="B3" s="149" t="s">
        <v>82</v>
      </c>
      <c r="C3" s="151" t="s">
        <v>83</v>
      </c>
      <c r="D3" s="147"/>
      <c r="E3" s="147"/>
      <c r="F3" s="147"/>
      <c r="G3" s="148"/>
      <c r="J3" s="146" t="s">
        <v>35</v>
      </c>
      <c r="K3" s="147"/>
      <c r="L3" s="147"/>
      <c r="M3" s="147"/>
      <c r="N3" s="148"/>
      <c r="O3" s="5"/>
      <c r="P3" s="146" t="s">
        <v>36</v>
      </c>
      <c r="Q3" s="147"/>
      <c r="R3" s="147"/>
      <c r="S3" s="147"/>
      <c r="T3" s="148"/>
      <c r="U3" s="121"/>
      <c r="V3" s="6"/>
      <c r="W3" s="146" t="s">
        <v>37</v>
      </c>
      <c r="X3" s="147"/>
      <c r="Y3" s="147"/>
      <c r="Z3" s="147"/>
      <c r="AA3" s="148"/>
    </row>
    <row r="4" spans="2:28" s="120" customFormat="1" ht="39" customHeight="1" thickBot="1" x14ac:dyDescent="0.3">
      <c r="B4" s="150"/>
      <c r="C4" s="119" t="s">
        <v>4</v>
      </c>
      <c r="D4" s="119" t="s">
        <v>5</v>
      </c>
      <c r="E4" s="119" t="s">
        <v>6</v>
      </c>
      <c r="F4" s="119" t="s">
        <v>15</v>
      </c>
      <c r="G4" s="119" t="s">
        <v>16</v>
      </c>
      <c r="J4" s="119" t="s">
        <v>14</v>
      </c>
      <c r="K4" s="119" t="s">
        <v>5</v>
      </c>
      <c r="L4" s="119" t="s">
        <v>6</v>
      </c>
      <c r="M4" s="119" t="s">
        <v>15</v>
      </c>
      <c r="N4" s="119" t="s">
        <v>16</v>
      </c>
      <c r="O4" s="119"/>
      <c r="P4" s="119" t="s">
        <v>14</v>
      </c>
      <c r="Q4" s="119" t="s">
        <v>5</v>
      </c>
      <c r="R4" s="119" t="s">
        <v>6</v>
      </c>
      <c r="S4" s="119" t="s">
        <v>15</v>
      </c>
      <c r="T4" s="119" t="s">
        <v>16</v>
      </c>
      <c r="U4" s="122" t="s">
        <v>37</v>
      </c>
      <c r="V4" s="119" t="s">
        <v>38</v>
      </c>
      <c r="W4" s="119" t="s">
        <v>14</v>
      </c>
      <c r="X4" s="119" t="s">
        <v>5</v>
      </c>
      <c r="Y4" s="119" t="s">
        <v>6</v>
      </c>
      <c r="Z4" s="119" t="s">
        <v>15</v>
      </c>
      <c r="AA4" s="119" t="s">
        <v>16</v>
      </c>
    </row>
    <row r="5" spans="2:28" customFormat="1" ht="15.75" thickBot="1" x14ac:dyDescent="0.3">
      <c r="B5" s="129"/>
      <c r="C5" s="197"/>
      <c r="D5" s="197"/>
      <c r="E5" s="197"/>
      <c r="F5" s="197"/>
      <c r="G5" s="7" t="str">
        <f>IF(SUM(C5:F5)=0,"PREENCHA O VALOR",SUM(C5:F5))</f>
        <v>PREENCHA O VALOR</v>
      </c>
      <c r="J5" s="4">
        <f>C5*CÁLCULO!$I$14</f>
        <v>0</v>
      </c>
      <c r="K5" s="4">
        <f>D5*CÁLCULO!$I$14</f>
        <v>0</v>
      </c>
      <c r="L5" s="4">
        <f>E5*CÁLCULO!$I$14</f>
        <v>0</v>
      </c>
      <c r="M5" s="4">
        <f>F5*CÁLCULO!$I$14</f>
        <v>0</v>
      </c>
      <c r="N5" s="4" t="e">
        <f>G5*CÁLCULO!$I$14</f>
        <v>#VALUE!</v>
      </c>
      <c r="O5" s="4"/>
      <c r="P5">
        <v>0</v>
      </c>
      <c r="Q5" s="4">
        <f>D5-K5</f>
        <v>0</v>
      </c>
      <c r="R5" s="4">
        <f>E5-L5</f>
        <v>0</v>
      </c>
      <c r="S5" s="4">
        <f>F5-M5</f>
        <v>0</v>
      </c>
      <c r="T5" s="4" t="e">
        <f>G5-N5</f>
        <v>#VALUE!</v>
      </c>
      <c r="U5" s="7" t="e">
        <f>IF(T5=0,"",T5*CÁLCULO!$I$11)</f>
        <v>#VALUE!</v>
      </c>
      <c r="V5" s="4" t="e">
        <f>IF(SUM(Q5:S5)&lt;U5,SUM(Q5:S5),U5)</f>
        <v>#VALUE!</v>
      </c>
      <c r="W5">
        <v>0</v>
      </c>
      <c r="X5" s="4">
        <f>IFERROR((D5*V5)/(G5-C5),0)</f>
        <v>0</v>
      </c>
      <c r="Y5" s="4">
        <f>IFERROR((E5*V5)/(G5-C5),0)</f>
        <v>0</v>
      </c>
      <c r="Z5" s="4">
        <f>IFERROR((F5*V5)/(G5-C5),0)</f>
        <v>0</v>
      </c>
      <c r="AA5" s="4">
        <f>SUM(W5:Z5)</f>
        <v>0</v>
      </c>
      <c r="AB5" s="4" t="e">
        <f>G5-AA5</f>
        <v>#VALUE!</v>
      </c>
    </row>
    <row r="6" spans="2:28" x14ac:dyDescent="0.25">
      <c r="J6" s="196">
        <f>C6*CÁLCULO!$I$14</f>
        <v>0</v>
      </c>
      <c r="K6" s="196">
        <f>D6*CÁLCULO!$I$14</f>
        <v>0</v>
      </c>
      <c r="L6" s="196">
        <f>E6*CÁLCULO!$I$14</f>
        <v>0</v>
      </c>
      <c r="M6" s="196">
        <f>F6*CÁLCULO!$I$14</f>
        <v>0</v>
      </c>
      <c r="N6" s="196">
        <f>G6*CÁLCULO!$I$14</f>
        <v>0</v>
      </c>
      <c r="O6" s="196"/>
      <c r="P6" s="195">
        <v>0</v>
      </c>
      <c r="Q6" s="196">
        <f t="shared" ref="Q6:Q15" si="4">D6-K6</f>
        <v>0</v>
      </c>
      <c r="R6" s="196">
        <f t="shared" ref="R6:R15" si="5">E6-L6</f>
        <v>0</v>
      </c>
      <c r="S6" s="196">
        <f t="shared" ref="S6:S15" si="6">F6-M6</f>
        <v>0</v>
      </c>
      <c r="T6" s="196">
        <f t="shared" ref="T6:T15" si="7">G6-N6</f>
        <v>0</v>
      </c>
      <c r="U6" s="130" t="str">
        <f>IF(T6=0,"",T6*CÁLCULO!$I$11)</f>
        <v/>
      </c>
      <c r="V6" s="196">
        <f t="shared" ref="V6:V15" si="8">IF(SUM(Q6:S6)&lt;U6,SUM(Q6:S6),U6)</f>
        <v>0</v>
      </c>
      <c r="W6" s="195">
        <v>0</v>
      </c>
      <c r="X6" s="196">
        <f t="shared" ref="X6:X15" si="9">IFERROR((D6*V6)/(G6-C6),0)</f>
        <v>0</v>
      </c>
      <c r="Y6" s="196">
        <f t="shared" ref="Y6:Y15" si="10">IFERROR((E6*V6)/(G6-C6),0)</f>
        <v>0</v>
      </c>
      <c r="Z6" s="196">
        <f t="shared" ref="Z6:Z15" si="11">IFERROR((F6*V6)/(G6-C6),0)</f>
        <v>0</v>
      </c>
      <c r="AA6" s="196">
        <f t="shared" ref="AA6:AA15" si="12">SUM(W6:Z6)</f>
        <v>0</v>
      </c>
      <c r="AB6" s="196">
        <f t="shared" ref="AB6:AB15" si="13">G6-AA6</f>
        <v>0</v>
      </c>
    </row>
    <row r="7" spans="2:28" x14ac:dyDescent="0.25">
      <c r="J7" s="196">
        <f>C7*CÁLCULO!$I$14</f>
        <v>0</v>
      </c>
      <c r="K7" s="196">
        <f>D7*CÁLCULO!$I$14</f>
        <v>0</v>
      </c>
      <c r="L7" s="196">
        <f>E7*CÁLCULO!$I$14</f>
        <v>0</v>
      </c>
      <c r="M7" s="196">
        <f>F7*CÁLCULO!$I$14</f>
        <v>0</v>
      </c>
      <c r="N7" s="196">
        <f>G7*CÁLCULO!$I$14</f>
        <v>0</v>
      </c>
      <c r="O7" s="196"/>
      <c r="P7" s="195">
        <v>0</v>
      </c>
      <c r="Q7" s="196">
        <f t="shared" si="4"/>
        <v>0</v>
      </c>
      <c r="R7" s="196">
        <f t="shared" si="5"/>
        <v>0</v>
      </c>
      <c r="S7" s="196">
        <f t="shared" si="6"/>
        <v>0</v>
      </c>
      <c r="T7" s="196">
        <f t="shared" si="7"/>
        <v>0</v>
      </c>
      <c r="U7" s="130" t="str">
        <f>IF(T7=0,"",T7*CÁLCULO!$I$11)</f>
        <v/>
      </c>
      <c r="V7" s="196">
        <f t="shared" si="8"/>
        <v>0</v>
      </c>
      <c r="W7" s="195">
        <v>0</v>
      </c>
      <c r="X7" s="196">
        <f t="shared" si="9"/>
        <v>0</v>
      </c>
      <c r="Y7" s="196">
        <f t="shared" si="10"/>
        <v>0</v>
      </c>
      <c r="Z7" s="196">
        <f t="shared" si="11"/>
        <v>0</v>
      </c>
      <c r="AA7" s="196">
        <f t="shared" si="12"/>
        <v>0</v>
      </c>
      <c r="AB7" s="196">
        <f t="shared" si="13"/>
        <v>0</v>
      </c>
    </row>
    <row r="8" spans="2:28" x14ac:dyDescent="0.25">
      <c r="J8" s="196">
        <f>C8*CÁLCULO!$I$14</f>
        <v>0</v>
      </c>
      <c r="K8" s="196">
        <f>D8*CÁLCULO!$I$14</f>
        <v>0</v>
      </c>
      <c r="L8" s="196">
        <f>E8*CÁLCULO!$I$14</f>
        <v>0</v>
      </c>
      <c r="M8" s="196">
        <f>F8*CÁLCULO!$I$14</f>
        <v>0</v>
      </c>
      <c r="N8" s="196">
        <f>G8*CÁLCULO!$I$14</f>
        <v>0</v>
      </c>
      <c r="O8" s="196"/>
      <c r="P8" s="195">
        <v>0</v>
      </c>
      <c r="Q8" s="196">
        <f t="shared" si="4"/>
        <v>0</v>
      </c>
      <c r="R8" s="196">
        <f t="shared" si="5"/>
        <v>0</v>
      </c>
      <c r="S8" s="196">
        <f t="shared" si="6"/>
        <v>0</v>
      </c>
      <c r="T8" s="196">
        <f t="shared" si="7"/>
        <v>0</v>
      </c>
      <c r="U8" s="130" t="str">
        <f>IF(T8=0,"",T8*CÁLCULO!$I$11)</f>
        <v/>
      </c>
      <c r="V8" s="196">
        <f t="shared" si="8"/>
        <v>0</v>
      </c>
      <c r="W8" s="195">
        <v>0</v>
      </c>
      <c r="X8" s="196">
        <f t="shared" si="9"/>
        <v>0</v>
      </c>
      <c r="Y8" s="196">
        <f t="shared" si="10"/>
        <v>0</v>
      </c>
      <c r="Z8" s="196">
        <f t="shared" si="11"/>
        <v>0</v>
      </c>
      <c r="AA8" s="196">
        <f t="shared" si="12"/>
        <v>0</v>
      </c>
      <c r="AB8" s="196">
        <f t="shared" si="13"/>
        <v>0</v>
      </c>
    </row>
    <row r="9" spans="2:28" x14ac:dyDescent="0.25">
      <c r="J9" s="196">
        <f>C9*CÁLCULO!$I$14</f>
        <v>0</v>
      </c>
      <c r="K9" s="196">
        <f>D9*CÁLCULO!$I$14</f>
        <v>0</v>
      </c>
      <c r="L9" s="196">
        <f>E9*CÁLCULO!$I$14</f>
        <v>0</v>
      </c>
      <c r="M9" s="196">
        <f>F9*CÁLCULO!$I$14</f>
        <v>0</v>
      </c>
      <c r="N9" s="196">
        <f>G9*CÁLCULO!$I$14</f>
        <v>0</v>
      </c>
      <c r="O9" s="196"/>
      <c r="P9" s="195">
        <v>0</v>
      </c>
      <c r="Q9" s="196">
        <f t="shared" si="4"/>
        <v>0</v>
      </c>
      <c r="R9" s="196">
        <f t="shared" si="5"/>
        <v>0</v>
      </c>
      <c r="S9" s="196">
        <f t="shared" si="6"/>
        <v>0</v>
      </c>
      <c r="T9" s="196">
        <f t="shared" si="7"/>
        <v>0</v>
      </c>
      <c r="U9" s="130" t="str">
        <f>IF(T9=0,"",T9*CÁLCULO!$I$11)</f>
        <v/>
      </c>
      <c r="V9" s="196">
        <f t="shared" si="8"/>
        <v>0</v>
      </c>
      <c r="W9" s="195">
        <v>0</v>
      </c>
      <c r="X9" s="196">
        <f t="shared" si="9"/>
        <v>0</v>
      </c>
      <c r="Y9" s="196">
        <f t="shared" si="10"/>
        <v>0</v>
      </c>
      <c r="Z9" s="196">
        <f t="shared" si="11"/>
        <v>0</v>
      </c>
      <c r="AA9" s="196">
        <f t="shared" si="12"/>
        <v>0</v>
      </c>
      <c r="AB9" s="196">
        <f t="shared" si="13"/>
        <v>0</v>
      </c>
    </row>
    <row r="10" spans="2:28" x14ac:dyDescent="0.25">
      <c r="J10" s="196">
        <f>C10*CÁLCULO!$I$14</f>
        <v>0</v>
      </c>
      <c r="K10" s="196">
        <f>D10*CÁLCULO!$I$14</f>
        <v>0</v>
      </c>
      <c r="L10" s="196">
        <f>E10*CÁLCULO!$I$14</f>
        <v>0</v>
      </c>
      <c r="M10" s="196">
        <f>F10*CÁLCULO!$I$14</f>
        <v>0</v>
      </c>
      <c r="N10" s="196">
        <f>G10*CÁLCULO!$I$14</f>
        <v>0</v>
      </c>
      <c r="O10" s="196"/>
      <c r="P10" s="195">
        <v>0</v>
      </c>
      <c r="Q10" s="196">
        <f t="shared" si="4"/>
        <v>0</v>
      </c>
      <c r="R10" s="196">
        <f t="shared" si="5"/>
        <v>0</v>
      </c>
      <c r="S10" s="196">
        <f t="shared" si="6"/>
        <v>0</v>
      </c>
      <c r="T10" s="196">
        <f t="shared" si="7"/>
        <v>0</v>
      </c>
      <c r="U10" s="130" t="str">
        <f>IF(T10=0,"",T10*CÁLCULO!$I$11)</f>
        <v/>
      </c>
      <c r="V10" s="196">
        <f t="shared" si="8"/>
        <v>0</v>
      </c>
      <c r="W10" s="195">
        <v>0</v>
      </c>
      <c r="X10" s="196">
        <f t="shared" si="9"/>
        <v>0</v>
      </c>
      <c r="Y10" s="196">
        <f t="shared" si="10"/>
        <v>0</v>
      </c>
      <c r="Z10" s="196">
        <f t="shared" si="11"/>
        <v>0</v>
      </c>
      <c r="AA10" s="196">
        <f t="shared" si="12"/>
        <v>0</v>
      </c>
      <c r="AB10" s="196">
        <f t="shared" si="13"/>
        <v>0</v>
      </c>
    </row>
    <row r="11" spans="2:28" x14ac:dyDescent="0.25">
      <c r="J11" s="196">
        <f>C11*CÁLCULO!$I$14</f>
        <v>0</v>
      </c>
      <c r="K11" s="196">
        <f>D11*CÁLCULO!$I$14</f>
        <v>0</v>
      </c>
      <c r="L11" s="196">
        <f>E11*CÁLCULO!$I$14</f>
        <v>0</v>
      </c>
      <c r="M11" s="196">
        <f>F11*CÁLCULO!$I$14</f>
        <v>0</v>
      </c>
      <c r="N11" s="196">
        <f>G11*CÁLCULO!$I$14</f>
        <v>0</v>
      </c>
      <c r="O11" s="196"/>
      <c r="P11" s="195">
        <v>0</v>
      </c>
      <c r="Q11" s="196">
        <f t="shared" si="4"/>
        <v>0</v>
      </c>
      <c r="R11" s="196">
        <f t="shared" si="5"/>
        <v>0</v>
      </c>
      <c r="S11" s="196">
        <f t="shared" si="6"/>
        <v>0</v>
      </c>
      <c r="T11" s="196">
        <f t="shared" si="7"/>
        <v>0</v>
      </c>
      <c r="U11" s="130" t="str">
        <f>IF(T11=0,"",T11*CÁLCULO!$I$11)</f>
        <v/>
      </c>
      <c r="V11" s="196">
        <f t="shared" si="8"/>
        <v>0</v>
      </c>
      <c r="W11" s="195">
        <v>0</v>
      </c>
      <c r="X11" s="196">
        <f t="shared" si="9"/>
        <v>0</v>
      </c>
      <c r="Y11" s="196">
        <f t="shared" si="10"/>
        <v>0</v>
      </c>
      <c r="Z11" s="196">
        <f t="shared" si="11"/>
        <v>0</v>
      </c>
      <c r="AA11" s="196">
        <f t="shared" si="12"/>
        <v>0</v>
      </c>
      <c r="AB11" s="196">
        <f t="shared" si="13"/>
        <v>0</v>
      </c>
    </row>
    <row r="12" spans="2:28" x14ac:dyDescent="0.25">
      <c r="J12" s="196">
        <f>C12*CÁLCULO!$I$14</f>
        <v>0</v>
      </c>
      <c r="K12" s="196">
        <f>D12*CÁLCULO!$I$14</f>
        <v>0</v>
      </c>
      <c r="L12" s="196">
        <f>E12*CÁLCULO!$I$14</f>
        <v>0</v>
      </c>
      <c r="M12" s="196">
        <f>F12*CÁLCULO!$I$14</f>
        <v>0</v>
      </c>
      <c r="N12" s="196">
        <f>G12*CÁLCULO!$I$14</f>
        <v>0</v>
      </c>
      <c r="O12" s="196"/>
      <c r="P12" s="195">
        <v>0</v>
      </c>
      <c r="Q12" s="196">
        <f t="shared" si="4"/>
        <v>0</v>
      </c>
      <c r="R12" s="196">
        <f t="shared" si="5"/>
        <v>0</v>
      </c>
      <c r="S12" s="196">
        <f t="shared" si="6"/>
        <v>0</v>
      </c>
      <c r="T12" s="196">
        <f t="shared" si="7"/>
        <v>0</v>
      </c>
      <c r="U12" s="130" t="str">
        <f>IF(T12=0,"",T12*CÁLCULO!$I$11)</f>
        <v/>
      </c>
      <c r="V12" s="196">
        <f t="shared" si="8"/>
        <v>0</v>
      </c>
      <c r="W12" s="195">
        <v>0</v>
      </c>
      <c r="X12" s="196">
        <f t="shared" si="9"/>
        <v>0</v>
      </c>
      <c r="Y12" s="196">
        <f t="shared" si="10"/>
        <v>0</v>
      </c>
      <c r="Z12" s="196">
        <f t="shared" si="11"/>
        <v>0</v>
      </c>
      <c r="AA12" s="196">
        <f t="shared" si="12"/>
        <v>0</v>
      </c>
      <c r="AB12" s="196">
        <f t="shared" si="13"/>
        <v>0</v>
      </c>
    </row>
    <row r="13" spans="2:28" x14ac:dyDescent="0.25">
      <c r="J13" s="196">
        <f>C13*CÁLCULO!$I$14</f>
        <v>0</v>
      </c>
      <c r="K13" s="196">
        <f>D13*CÁLCULO!$I$14</f>
        <v>0</v>
      </c>
      <c r="L13" s="196">
        <f>E13*CÁLCULO!$I$14</f>
        <v>0</v>
      </c>
      <c r="M13" s="196">
        <f>F13*CÁLCULO!$I$14</f>
        <v>0</v>
      </c>
      <c r="N13" s="196">
        <f>G13*CÁLCULO!$I$14</f>
        <v>0</v>
      </c>
      <c r="O13" s="196"/>
      <c r="P13" s="195">
        <v>0</v>
      </c>
      <c r="Q13" s="196">
        <f t="shared" si="4"/>
        <v>0</v>
      </c>
      <c r="R13" s="196">
        <f t="shared" si="5"/>
        <v>0</v>
      </c>
      <c r="S13" s="196">
        <f t="shared" si="6"/>
        <v>0</v>
      </c>
      <c r="T13" s="196">
        <f t="shared" si="7"/>
        <v>0</v>
      </c>
      <c r="U13" s="130" t="str">
        <f>IF(T13=0,"",T13*CÁLCULO!$I$11)</f>
        <v/>
      </c>
      <c r="V13" s="196">
        <f t="shared" si="8"/>
        <v>0</v>
      </c>
      <c r="W13" s="195">
        <v>0</v>
      </c>
      <c r="X13" s="196">
        <f t="shared" si="9"/>
        <v>0</v>
      </c>
      <c r="Y13" s="196">
        <f t="shared" si="10"/>
        <v>0</v>
      </c>
      <c r="Z13" s="196">
        <f t="shared" si="11"/>
        <v>0</v>
      </c>
      <c r="AA13" s="196">
        <f t="shared" si="12"/>
        <v>0</v>
      </c>
      <c r="AB13" s="196">
        <f t="shared" si="13"/>
        <v>0</v>
      </c>
    </row>
    <row r="14" spans="2:28" x14ac:dyDescent="0.25">
      <c r="J14" s="196">
        <f>C14*CÁLCULO!$I$14</f>
        <v>0</v>
      </c>
      <c r="K14" s="196">
        <f>D14*CÁLCULO!$I$14</f>
        <v>0</v>
      </c>
      <c r="L14" s="196">
        <f>E14*CÁLCULO!$I$14</f>
        <v>0</v>
      </c>
      <c r="M14" s="196">
        <f>F14*CÁLCULO!$I$14</f>
        <v>0</v>
      </c>
      <c r="N14" s="196">
        <f>G14*CÁLCULO!$I$14</f>
        <v>0</v>
      </c>
      <c r="O14" s="196"/>
      <c r="P14" s="195">
        <v>0</v>
      </c>
      <c r="Q14" s="196">
        <f t="shared" si="4"/>
        <v>0</v>
      </c>
      <c r="R14" s="196">
        <f t="shared" si="5"/>
        <v>0</v>
      </c>
      <c r="S14" s="196">
        <f t="shared" si="6"/>
        <v>0</v>
      </c>
      <c r="T14" s="196">
        <f t="shared" si="7"/>
        <v>0</v>
      </c>
      <c r="U14" s="130" t="str">
        <f>IF(T14=0,"",T14*CÁLCULO!$I$11)</f>
        <v/>
      </c>
      <c r="V14" s="196">
        <f t="shared" si="8"/>
        <v>0</v>
      </c>
      <c r="W14" s="195">
        <v>0</v>
      </c>
      <c r="X14" s="196">
        <f t="shared" si="9"/>
        <v>0</v>
      </c>
      <c r="Y14" s="196">
        <f t="shared" si="10"/>
        <v>0</v>
      </c>
      <c r="Z14" s="196">
        <f t="shared" si="11"/>
        <v>0</v>
      </c>
      <c r="AA14" s="196">
        <f t="shared" si="12"/>
        <v>0</v>
      </c>
      <c r="AB14" s="196">
        <f t="shared" si="13"/>
        <v>0</v>
      </c>
    </row>
    <row r="15" spans="2:28" x14ac:dyDescent="0.25">
      <c r="J15" s="196">
        <f>C15*CÁLCULO!$I$14</f>
        <v>0</v>
      </c>
      <c r="K15" s="196">
        <f>D15*CÁLCULO!$I$14</f>
        <v>0</v>
      </c>
      <c r="L15" s="196">
        <f>E15*CÁLCULO!$I$14</f>
        <v>0</v>
      </c>
      <c r="M15" s="196">
        <f>F15*CÁLCULO!$I$14</f>
        <v>0</v>
      </c>
      <c r="N15" s="196">
        <f>G15*CÁLCULO!$I$14</f>
        <v>0</v>
      </c>
      <c r="O15" s="196"/>
      <c r="P15" s="195">
        <v>0</v>
      </c>
      <c r="Q15" s="196">
        <f t="shared" si="4"/>
        <v>0</v>
      </c>
      <c r="R15" s="196">
        <f t="shared" si="5"/>
        <v>0</v>
      </c>
      <c r="S15" s="196">
        <f t="shared" si="6"/>
        <v>0</v>
      </c>
      <c r="T15" s="196">
        <f t="shared" si="7"/>
        <v>0</v>
      </c>
      <c r="U15" s="130" t="str">
        <f>IF(T15=0,"",T15*CÁLCULO!$I$11)</f>
        <v/>
      </c>
      <c r="V15" s="196">
        <f t="shared" si="8"/>
        <v>0</v>
      </c>
      <c r="W15" s="195">
        <v>0</v>
      </c>
      <c r="X15" s="196">
        <f t="shared" si="9"/>
        <v>0</v>
      </c>
      <c r="Y15" s="196">
        <f t="shared" si="10"/>
        <v>0</v>
      </c>
      <c r="Z15" s="196">
        <f t="shared" si="11"/>
        <v>0</v>
      </c>
      <c r="AA15" s="196">
        <f t="shared" si="12"/>
        <v>0</v>
      </c>
      <c r="AB15" s="196">
        <f t="shared" si="13"/>
        <v>0</v>
      </c>
    </row>
    <row r="16" spans="2:28" x14ac:dyDescent="0.25">
      <c r="H16" s="130"/>
      <c r="I16" s="130"/>
      <c r="J16" s="130"/>
      <c r="K16" s="130"/>
      <c r="L16" s="130"/>
      <c r="M16" s="130"/>
      <c r="N16" s="130"/>
      <c r="O16" s="130"/>
      <c r="P16" s="130"/>
      <c r="Q16" s="196"/>
      <c r="R16" s="196"/>
      <c r="S16" s="196"/>
      <c r="T16" s="196"/>
      <c r="V16" s="196"/>
      <c r="W16" s="130"/>
      <c r="X16" s="196"/>
      <c r="Y16" s="196"/>
      <c r="Z16" s="196"/>
      <c r="AA16" s="196"/>
      <c r="AB16" s="196"/>
    </row>
  </sheetData>
  <sheetProtection algorithmName="SHA-512" hashValue="/sd04fO7f5kZSI7FHJ+1dgo13LRE4IUxZBY83/jxZhJ+9ijZ1m2vVBDjK3bo6V20u9Pw5rdaWx/8/uQ9AJMKLA==" saltValue="kAUcf8zQf7sik+BMgkuT0A==" spinCount="100000" sheet="1" objects="1" scenarios="1" selectLockedCells="1"/>
  <mergeCells count="5">
    <mergeCell ref="W3:AA3"/>
    <mergeCell ref="B3:B4"/>
    <mergeCell ref="C3:G3"/>
    <mergeCell ref="J3:N3"/>
    <mergeCell ref="P3:T3"/>
  </mergeCells>
  <pageMargins left="0.511811024" right="0.511811024" top="0.78740157499999996" bottom="0.78740157499999996" header="0.31496062000000002" footer="0.31496062000000002"/>
  <pageSetup paperSize="9" scale="6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DA968-223C-4DC4-B520-ED836849C555}">
  <sheetPr codeName="Planilha2">
    <pageSetUpPr fitToPage="1"/>
  </sheetPr>
  <dimension ref="A1:Z102"/>
  <sheetViews>
    <sheetView showGridLines="0" topLeftCell="C1" zoomScale="76" zoomScaleNormal="76" workbookViewId="0">
      <selection activeCell="I8" sqref="I8:J8"/>
    </sheetView>
  </sheetViews>
  <sheetFormatPr defaultColWidth="8.5703125" defaultRowHeight="14.25" x14ac:dyDescent="0.2"/>
  <cols>
    <col min="1" max="1" width="65.28515625" style="55" hidden="1" customWidth="1"/>
    <col min="2" max="2" width="75" style="55" hidden="1" customWidth="1"/>
    <col min="3" max="3" width="3.5703125" style="55" customWidth="1"/>
    <col min="4" max="5" width="3.42578125" style="55" customWidth="1"/>
    <col min="6" max="6" width="10.42578125" style="55" customWidth="1"/>
    <col min="7" max="7" width="51" style="55" customWidth="1"/>
    <col min="8" max="8" width="12.28515625" style="55" customWidth="1"/>
    <col min="9" max="9" width="13.85546875" style="55" customWidth="1"/>
    <col min="10" max="10" width="23.5703125" style="55" customWidth="1"/>
    <col min="11" max="11" width="4.42578125" style="55" customWidth="1"/>
    <col min="12" max="12" width="10.140625" style="55" customWidth="1"/>
    <col min="13" max="13" width="14.85546875" style="55" customWidth="1"/>
    <col min="14" max="14" width="11" style="55" customWidth="1"/>
    <col min="15" max="15" width="16.85546875" style="55" customWidth="1"/>
    <col min="16" max="16" width="10.140625" style="55" customWidth="1"/>
    <col min="17" max="17" width="15" style="55" customWidth="1"/>
    <col min="18" max="19" width="3.42578125" style="55" customWidth="1"/>
    <col min="20" max="20" width="17.42578125" style="55" bestFit="1" customWidth="1"/>
    <col min="21" max="21" width="15.5703125" style="55" bestFit="1" customWidth="1"/>
    <col min="22" max="22" width="17.42578125" style="55" bestFit="1" customWidth="1"/>
    <col min="23" max="16384" width="8.5703125" style="55"/>
  </cols>
  <sheetData>
    <row r="1" spans="1:26" ht="15" thickBot="1" x14ac:dyDescent="0.25">
      <c r="A1" s="55">
        <f>IF(A5="","",12+(IF($A$2="1a",133,IF($A$2="2a",36,IF($A$2="2b",60,IF($A$2="2c",84,IF($A$2="2d",108,IF($A$2="2e",133,IF($A$2="2f",133,IF($A$2="3a",36,IF($A$2="3b",60,IF($A$2="3c",84,IF($A$2="3d",108,IF($A$2="3e",108,IF($A$2="4a",108,"Informe Modalidade")))))))))))))))</f>
        <v>145</v>
      </c>
    </row>
    <row r="2" spans="1:26" s="56" customFormat="1" ht="56.45" customHeight="1" thickTop="1" x14ac:dyDescent="0.25">
      <c r="A2" s="56" t="str">
        <f>A3&amp;""&amp;A5</f>
        <v>1a</v>
      </c>
      <c r="D2" s="172" t="s">
        <v>41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4"/>
      <c r="T2" s="57"/>
      <c r="U2" s="57"/>
      <c r="V2" s="57"/>
      <c r="W2" s="57"/>
      <c r="X2" s="57"/>
      <c r="Y2" s="57"/>
    </row>
    <row r="3" spans="1:26" ht="50.1" customHeight="1" x14ac:dyDescent="0.2">
      <c r="A3" s="56">
        <f>IF(F3=A79,2,IF(F3=A80,3,IF(F3=A81,1,IF(F3=A82,4,IF(F3=A83,5,IF(F3=A84,6))))))</f>
        <v>1</v>
      </c>
      <c r="D3" s="58"/>
      <c r="E3" s="59"/>
      <c r="F3" s="183" t="str">
        <f>IF('CAPACIDADE DE PAGAMENTO'!A6=0,"",'CAPACIDADE DE PAGAMENTO'!A6)</f>
        <v>Pessoas físicas.</v>
      </c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5"/>
      <c r="S3" s="60"/>
    </row>
    <row r="4" spans="1:26" ht="24.6" customHeight="1" x14ac:dyDescent="0.2">
      <c r="A4" s="116">
        <f>IF(OR(SUM('VALOR NEGOCIADO'!G5:G15)=0,'CAPACIDADE DE PAGAMENTO'!I5="",'CAPACIDADE DE PAGAMENTO'!I7="",'CAPACIDADE DE PAGAMENTO'!I8="",CÁLCULO!F5=""),1,0)</f>
        <v>1</v>
      </c>
      <c r="D4" s="58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S4" s="60"/>
    </row>
    <row r="5" spans="1:26" ht="45.6" customHeight="1" thickBot="1" x14ac:dyDescent="0.25">
      <c r="A5" s="56" t="str">
        <f>IF(A18=1,"",LEFT(F5,1))</f>
        <v>a</v>
      </c>
      <c r="D5" s="58"/>
      <c r="F5" s="186" t="s">
        <v>80</v>
      </c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63"/>
      <c r="S5" s="60"/>
    </row>
    <row r="6" spans="1:26" s="65" customFormat="1" ht="23.45" customHeight="1" thickBot="1" x14ac:dyDescent="0.25">
      <c r="A6" s="64" t="str">
        <f>IF($A$3=1,A70,IF($A$3=2,A59,IF($A$3=3,A65,IF($A$3=4,A76,""))))</f>
        <v>a) Redução de até 70%, em até 145 parcelas mensais e sucessivas.</v>
      </c>
      <c r="D6" s="58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60"/>
    </row>
    <row r="7" spans="1:26" s="65" customFormat="1" ht="15" thickTop="1" x14ac:dyDescent="0.2">
      <c r="A7" s="66" t="str">
        <f>IF($A$3=2,A60,IF($A$3=3,A66,""))</f>
        <v/>
      </c>
      <c r="D7" s="58"/>
      <c r="E7" s="67"/>
      <c r="F7" s="68"/>
      <c r="G7" s="68"/>
      <c r="H7" s="68"/>
      <c r="I7" s="68"/>
      <c r="J7" s="68"/>
      <c r="K7" s="69"/>
      <c r="L7" s="55"/>
      <c r="M7" s="193" t="str">
        <f>IF(A5="","SELECIONE MODALIDADE",IF('VALOR NEGOCIADO'!G1=0,"INFORME O VALOR DA INSCRIÇÃO NA ABA VALOR NEGOCIADO",IF(I9="","INFORME DATA DE SIMULAÇÃO DA ADESÃO",IF(OR(I10="",I10=0),"Informe Receita/Rendimento do mês anterior ao da Simulação da Adesão",IF(A52&gt;A51,IF(A3=1,A102,A101),"")))))</f>
        <v>A parcela determinada pelo maior valor entre 5% (cinco por cento) do rendimento bruto do mês imediatamente anterior e o valor correspondente à divisão do valor correspondente à divisão do valor consolidado pela quantidade de prestações solicitadas</v>
      </c>
      <c r="N7" s="193"/>
      <c r="O7" s="193"/>
      <c r="P7" s="193"/>
      <c r="Q7" s="193"/>
      <c r="R7" s="193"/>
      <c r="S7" s="60"/>
    </row>
    <row r="8" spans="1:26" s="65" customFormat="1" ht="21.95" customHeight="1" x14ac:dyDescent="0.2">
      <c r="A8" s="66"/>
      <c r="D8" s="58"/>
      <c r="E8" s="58"/>
      <c r="F8" s="70" t="s">
        <v>68</v>
      </c>
      <c r="G8" s="70"/>
      <c r="H8" s="71"/>
      <c r="I8" s="152" t="str">
        <f>IF('CAPACIDADE DE PAGAMENTO'!I4="","",'CAPACIDADE DE PAGAMENTO'!I4)</f>
        <v/>
      </c>
      <c r="J8" s="152"/>
      <c r="K8" s="60"/>
      <c r="L8" s="55"/>
      <c r="M8" s="193"/>
      <c r="N8" s="193"/>
      <c r="O8" s="193"/>
      <c r="P8" s="193"/>
      <c r="Q8" s="193"/>
      <c r="R8" s="193"/>
      <c r="S8" s="60"/>
    </row>
    <row r="9" spans="1:26" s="65" customFormat="1" ht="20.45" hidden="1" customHeight="1" thickBot="1" x14ac:dyDescent="0.25">
      <c r="A9" s="66" t="str">
        <f>IF($A$3=2,A61,IF($A$3=3,A67,""))</f>
        <v/>
      </c>
      <c r="D9" s="58"/>
      <c r="E9" s="58"/>
      <c r="F9" s="70" t="s">
        <v>65</v>
      </c>
      <c r="G9" s="70"/>
      <c r="H9" s="71"/>
      <c r="I9" s="187">
        <f>IF('CAPACIDADE DE PAGAMENTO'!I5="","",'CAPACIDADE DE PAGAMENTO'!I5)</f>
        <v>44713</v>
      </c>
      <c r="J9" s="187"/>
      <c r="K9" s="60"/>
      <c r="L9" s="55"/>
      <c r="M9" s="193"/>
      <c r="N9" s="193"/>
      <c r="O9" s="193"/>
      <c r="P9" s="193"/>
      <c r="Q9" s="193"/>
      <c r="R9" s="193"/>
      <c r="S9" s="60"/>
    </row>
    <row r="10" spans="1:26" s="65" customFormat="1" ht="20.45" hidden="1" customHeight="1" thickBot="1" x14ac:dyDescent="0.25">
      <c r="A10" s="66" t="str">
        <f>IF($A$3=2,A62,IF($A$3=3,A68,""))</f>
        <v/>
      </c>
      <c r="D10" s="58"/>
      <c r="E10" s="58"/>
      <c r="F10" s="70" t="s">
        <v>64</v>
      </c>
      <c r="G10" s="70"/>
      <c r="H10" s="71"/>
      <c r="I10" s="188">
        <v>1</v>
      </c>
      <c r="J10" s="189"/>
      <c r="K10" s="60"/>
      <c r="L10" s="55"/>
      <c r="M10" s="193"/>
      <c r="N10" s="193"/>
      <c r="O10" s="193"/>
      <c r="P10" s="193"/>
      <c r="Q10" s="193"/>
      <c r="R10" s="193"/>
      <c r="S10" s="60"/>
    </row>
    <row r="11" spans="1:26" s="65" customFormat="1" ht="20.45" customHeight="1" x14ac:dyDescent="0.2">
      <c r="A11" s="66" t="str">
        <f>IF($A$3=2,A63,IF($A$3=3,A74,""))</f>
        <v/>
      </c>
      <c r="D11" s="58"/>
      <c r="E11" s="58"/>
      <c r="F11" s="70" t="s">
        <v>66</v>
      </c>
      <c r="G11" s="70"/>
      <c r="H11" s="71"/>
      <c r="I11" s="190">
        <f>IF(B18&gt;'CAPACIDADE DE PAGAMENTO'!A42,'CAPACIDADE DE PAGAMENTO'!A42,CÁLCULO!B18)</f>
        <v>0.7</v>
      </c>
      <c r="J11" s="190"/>
      <c r="K11" s="60"/>
      <c r="L11" s="55"/>
      <c r="M11" s="193"/>
      <c r="N11" s="193"/>
      <c r="O11" s="193"/>
      <c r="P11" s="193"/>
      <c r="Q11" s="193"/>
      <c r="R11" s="193"/>
      <c r="S11" s="60"/>
      <c r="U11" s="72"/>
      <c r="V11" s="72"/>
    </row>
    <row r="12" spans="1:26" s="65" customFormat="1" ht="20.45" customHeight="1" x14ac:dyDescent="0.2">
      <c r="A12" s="66" t="str">
        <f>IF($A$3=2,A72,"")</f>
        <v/>
      </c>
      <c r="C12" s="55"/>
      <c r="D12" s="58"/>
      <c r="E12" s="58"/>
      <c r="F12" s="70" t="str">
        <f>"Prestações da Negociação: de "&amp;TEXT(SUM(I13+1),"00")&amp;" a "&amp;TEXT(A1,"00")</f>
        <v>Prestações da Negociação: de 02 a 145</v>
      </c>
      <c r="G12" s="70"/>
      <c r="H12" s="70"/>
      <c r="I12" s="191">
        <f>IF(A1="","SELECIONE MODALIDADE",B52+B50)</f>
        <v>1</v>
      </c>
      <c r="J12" s="191"/>
      <c r="K12" s="60"/>
      <c r="L12" s="55"/>
      <c r="M12" s="193"/>
      <c r="N12" s="193"/>
      <c r="O12" s="193"/>
      <c r="P12" s="193"/>
      <c r="Q12" s="193"/>
      <c r="R12" s="193"/>
      <c r="S12" s="60"/>
      <c r="T12" s="55"/>
      <c r="U12" s="55"/>
      <c r="V12" s="55"/>
      <c r="W12" s="55"/>
      <c r="X12" s="55"/>
      <c r="Y12" s="55"/>
      <c r="Z12" s="55"/>
    </row>
    <row r="13" spans="1:26" ht="20.45" customHeight="1" x14ac:dyDescent="0.25">
      <c r="A13"/>
      <c r="D13" s="58"/>
      <c r="E13" s="58"/>
      <c r="F13" s="70" t="str">
        <f>"Prestações da Entrada: de 01 a "&amp;TEXT(I13,"00")</f>
        <v>Prestações da Entrada: de 01 a 01</v>
      </c>
      <c r="G13" s="70"/>
      <c r="H13" s="71"/>
      <c r="I13" s="192">
        <f>A39</f>
        <v>1</v>
      </c>
      <c r="J13" s="192"/>
      <c r="K13" s="60"/>
      <c r="M13" s="193"/>
      <c r="N13" s="193"/>
      <c r="O13" s="193"/>
      <c r="P13" s="193"/>
      <c r="Q13" s="193"/>
      <c r="R13" s="193"/>
      <c r="S13" s="60"/>
    </row>
    <row r="14" spans="1:26" ht="20.45" customHeight="1" x14ac:dyDescent="0.25">
      <c r="A14"/>
      <c r="D14" s="58"/>
      <c r="E14" s="58"/>
      <c r="F14" s="70" t="s">
        <v>63</v>
      </c>
      <c r="G14" s="70"/>
      <c r="H14" s="71"/>
      <c r="I14" s="164">
        <v>0.04</v>
      </c>
      <c r="J14" s="164"/>
      <c r="K14" s="60"/>
      <c r="M14" s="193"/>
      <c r="N14" s="193"/>
      <c r="O14" s="193"/>
      <c r="P14" s="193"/>
      <c r="Q14" s="193"/>
      <c r="R14" s="193"/>
      <c r="S14" s="60"/>
    </row>
    <row r="15" spans="1:26" ht="20.45" hidden="1" customHeight="1" x14ac:dyDescent="0.25">
      <c r="A15"/>
      <c r="D15" s="58"/>
      <c r="E15" s="58"/>
      <c r="F15" s="124" t="s">
        <v>0</v>
      </c>
      <c r="G15" s="124"/>
      <c r="H15" s="125"/>
      <c r="I15" s="155" t="e">
        <f>'VALOR NEGOCIADO'!U1</f>
        <v>#VALUE!</v>
      </c>
      <c r="J15" s="155"/>
      <c r="K15" s="60"/>
      <c r="M15" s="193"/>
      <c r="N15" s="193"/>
      <c r="O15" s="193"/>
      <c r="P15" s="193"/>
      <c r="Q15" s="193"/>
      <c r="R15" s="193"/>
      <c r="S15" s="60"/>
    </row>
    <row r="16" spans="1:26" ht="20.45" hidden="1" customHeight="1" x14ac:dyDescent="0.25">
      <c r="A16">
        <f>IF(I9="","",MONTH(I9)-1)</f>
        <v>5</v>
      </c>
      <c r="D16" s="58"/>
      <c r="E16" s="58"/>
      <c r="F16" s="126" t="s">
        <v>1</v>
      </c>
      <c r="G16" s="126"/>
      <c r="H16" s="127"/>
      <c r="I16" s="165" t="e">
        <f>'VALOR NEGOCIADO'!V1</f>
        <v>#VALUE!</v>
      </c>
      <c r="J16" s="165"/>
      <c r="K16" s="60"/>
      <c r="M16" s="193"/>
      <c r="N16" s="193"/>
      <c r="O16" s="193"/>
      <c r="P16" s="193"/>
      <c r="Q16" s="193"/>
      <c r="R16" s="193"/>
      <c r="S16" s="60"/>
    </row>
    <row r="17" spans="1:24" ht="20.45" hidden="1" customHeight="1" x14ac:dyDescent="0.25">
      <c r="A17"/>
      <c r="D17" s="58"/>
      <c r="E17" s="58"/>
      <c r="F17" s="124" t="s">
        <v>2</v>
      </c>
      <c r="G17" s="124"/>
      <c r="H17" s="125"/>
      <c r="I17" s="155">
        <f>P25</f>
        <v>0</v>
      </c>
      <c r="J17" s="155"/>
      <c r="K17" s="60"/>
      <c r="M17" s="193"/>
      <c r="N17" s="193"/>
      <c r="O17" s="193"/>
      <c r="P17" s="193"/>
      <c r="Q17" s="193"/>
      <c r="R17" s="193"/>
      <c r="S17" s="60"/>
    </row>
    <row r="18" spans="1:24" ht="15.75" thickBot="1" x14ac:dyDescent="0.3">
      <c r="A18" t="str">
        <f>IFERROR(VLOOKUP(F5,A20:A25,1,0),1)</f>
        <v>a) Redução de até 70%, em até 145 parcelas mensais e sucessivas.</v>
      </c>
      <c r="B18" s="114">
        <f>IFERROR(VLOOKUP(A18,$A$59:$B$76,2,0),"")</f>
        <v>0.7</v>
      </c>
      <c r="D18" s="58"/>
      <c r="E18" s="73"/>
      <c r="F18" s="74"/>
      <c r="G18" s="74"/>
      <c r="H18" s="74"/>
      <c r="I18" s="1"/>
      <c r="J18" s="75"/>
      <c r="K18" s="76"/>
      <c r="M18" s="193"/>
      <c r="N18" s="193"/>
      <c r="O18" s="193"/>
      <c r="P18" s="193"/>
      <c r="Q18" s="193"/>
      <c r="R18" s="193"/>
      <c r="S18" s="60"/>
    </row>
    <row r="19" spans="1:24" ht="16.5" thickTop="1" thickBot="1" x14ac:dyDescent="0.3">
      <c r="A19"/>
      <c r="D19" s="58"/>
      <c r="E19" s="77"/>
      <c r="F19" s="78"/>
      <c r="G19" s="78"/>
      <c r="H19" s="78"/>
      <c r="I19" s="2"/>
      <c r="S19" s="60"/>
    </row>
    <row r="20" spans="1:24" ht="15.75" thickTop="1" x14ac:dyDescent="0.25">
      <c r="A20" s="79" t="str">
        <f>IF($F$3=$A$58,A59,IF($F$3=$A$64,A65,IF($F$3=$A$69,A70,IF($F$3=$A$75,A76,""))))</f>
        <v>a) Redução de até 70%, em até 145 parcelas mensais e sucessivas.</v>
      </c>
      <c r="D20" s="58"/>
      <c r="E20" s="67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9"/>
      <c r="S20" s="60"/>
    </row>
    <row r="21" spans="1:24" ht="20.45" customHeight="1" x14ac:dyDescent="0.25">
      <c r="A21" s="79" t="str">
        <f>IF($F$3=$A$58,A60,IF($F$3=$A$64,A66,IF($F$3=$A$69,"",IF($F$3=$A$71,"",IF($F$3=$A$73,"",IF($F$3=$A$75,"",""))))))</f>
        <v/>
      </c>
      <c r="D21" s="58"/>
      <c r="E21" s="58"/>
      <c r="F21" s="177" t="s">
        <v>3</v>
      </c>
      <c r="G21" s="167"/>
      <c r="H21" s="166" t="s">
        <v>4</v>
      </c>
      <c r="I21" s="167" t="s">
        <v>4</v>
      </c>
      <c r="J21" s="166" t="s">
        <v>5</v>
      </c>
      <c r="K21" s="167"/>
      <c r="L21" s="166" t="s">
        <v>6</v>
      </c>
      <c r="M21" s="167" t="s">
        <v>6</v>
      </c>
      <c r="N21" s="166" t="s">
        <v>7</v>
      </c>
      <c r="O21" s="167"/>
      <c r="P21" s="166" t="s">
        <v>13</v>
      </c>
      <c r="Q21" s="177" t="s">
        <v>8</v>
      </c>
      <c r="R21" s="80"/>
      <c r="S21" s="80"/>
    </row>
    <row r="22" spans="1:24" ht="20.45" customHeight="1" x14ac:dyDescent="0.25">
      <c r="A22" s="79" t="str">
        <f>IF($F$3=$A$58,A61,IF($F$3=$A$64,A67,IF($F$3=$A$69,"",IF($F$3=$A$71,"",IF($F$3=$A$73,"",IF($F$3=$A$75,"",""))))))</f>
        <v/>
      </c>
      <c r="D22" s="58"/>
      <c r="E22" s="58"/>
      <c r="F22" s="178" t="s">
        <v>9</v>
      </c>
      <c r="G22" s="179"/>
      <c r="H22" s="168">
        <f>IF(A4=1,0,'VALOR NEGOCIADO'!C1)</f>
        <v>0</v>
      </c>
      <c r="I22" s="169" t="e">
        <f>SUM('[2]INFORMAR $ INSCRIÇÕES'!#REF!)</f>
        <v>#REF!</v>
      </c>
      <c r="J22" s="168">
        <f>IF(A4=1,0,'VALOR NEGOCIADO'!D1)</f>
        <v>0</v>
      </c>
      <c r="K22" s="169" t="e">
        <f>SUM('[2]INFORMAR $ INSCRIÇÕES'!#REF!)</f>
        <v>#REF!</v>
      </c>
      <c r="L22" s="168">
        <f>IF(A4=1,0,'VALOR NEGOCIADO'!E1)</f>
        <v>0</v>
      </c>
      <c r="M22" s="169" t="e">
        <f>SUM('[2]INFORMAR $ INSCRIÇÕES'!#REF!)</f>
        <v>#REF!</v>
      </c>
      <c r="N22" s="168">
        <f>IF(A4=1,0,'VALOR NEGOCIADO'!F1)</f>
        <v>0</v>
      </c>
      <c r="O22" s="169" t="e">
        <f>SUM('[2]INFORMAR $ INSCRIÇÕES'!#REF!)</f>
        <v>#REF!</v>
      </c>
      <c r="P22" s="168">
        <f>H22+J22+L22+N22</f>
        <v>0</v>
      </c>
      <c r="Q22" s="182" t="e">
        <f>SUM(I22:N22)</f>
        <v>#REF!</v>
      </c>
      <c r="R22" s="81"/>
      <c r="S22" s="81"/>
    </row>
    <row r="23" spans="1:24" ht="20.45" customHeight="1" x14ac:dyDescent="0.25">
      <c r="A23" s="79" t="str">
        <f>IF($F$3=$A$58,A62,IF($F$3=$A$64,A68,IF($F$3=$A$69,"",IF($F$3=$A$71,"",IF($F$3=$A$73,"",IF($F$3=$A$75,"",""))))))</f>
        <v/>
      </c>
      <c r="D23" s="58"/>
      <c r="E23" s="58"/>
      <c r="F23" s="180" t="s">
        <v>61</v>
      </c>
      <c r="G23" s="181"/>
      <c r="H23" s="157">
        <f>IF(A4=1,0,'VALOR NEGOCIADO'!J1)</f>
        <v>0</v>
      </c>
      <c r="I23" s="159" t="e">
        <f>IF(I22="","",I22*#REF!)</f>
        <v>#REF!</v>
      </c>
      <c r="J23" s="157">
        <f>IF(A4=1,0,'VALOR NEGOCIADO'!K1)</f>
        <v>0</v>
      </c>
      <c r="K23" s="159" t="e">
        <f>IF(K22="","",K22*#REF!)</f>
        <v>#REF!</v>
      </c>
      <c r="L23" s="157">
        <f>IF(A4=1,0,'VALOR NEGOCIADO'!L1)</f>
        <v>0</v>
      </c>
      <c r="M23" s="159" t="e">
        <f>IF(M22="","",M22*#REF!)</f>
        <v>#REF!</v>
      </c>
      <c r="N23" s="157">
        <f>IF(A4=1,0,'VALOR NEGOCIADO'!M1)</f>
        <v>0</v>
      </c>
      <c r="O23" s="159" t="e">
        <f>IF(O22="","",O22*#REF!)</f>
        <v>#REF!</v>
      </c>
      <c r="P23" s="157">
        <f>H23+J23+L23+N23</f>
        <v>0</v>
      </c>
      <c r="Q23" s="158" t="e">
        <f>SUM(I23:N23)</f>
        <v>#REF!</v>
      </c>
      <c r="R23" s="82"/>
      <c r="S23" s="82"/>
    </row>
    <row r="24" spans="1:24" ht="20.45" customHeight="1" x14ac:dyDescent="0.25">
      <c r="A24" s="79" t="str">
        <f>IF($F$3=$A$58,A63,IF($F$3=$A$64,A74,IF($F$3=$A$69,"",IF($F$3=$A$71,"",IF($F$3=$A$73,"",IF($F$3=$A$75,"",""))))))</f>
        <v/>
      </c>
      <c r="D24" s="58"/>
      <c r="E24" s="58"/>
      <c r="F24" s="180" t="s">
        <v>10</v>
      </c>
      <c r="G24" s="181"/>
      <c r="H24" s="157">
        <f>H22-H23</f>
        <v>0</v>
      </c>
      <c r="I24" s="159" t="e">
        <f>I22-I23</f>
        <v>#REF!</v>
      </c>
      <c r="J24" s="157">
        <f>J22-J23</f>
        <v>0</v>
      </c>
      <c r="K24" s="159" t="e">
        <f t="shared" ref="K24:O24" si="0">K22-K23</f>
        <v>#REF!</v>
      </c>
      <c r="L24" s="157">
        <f>L22-L23</f>
        <v>0</v>
      </c>
      <c r="M24" s="159" t="e">
        <f t="shared" si="0"/>
        <v>#REF!</v>
      </c>
      <c r="N24" s="157">
        <f>N22-N23</f>
        <v>0</v>
      </c>
      <c r="O24" s="159" t="e">
        <f t="shared" si="0"/>
        <v>#REF!</v>
      </c>
      <c r="P24" s="157">
        <f>P22-P23</f>
        <v>0</v>
      </c>
      <c r="Q24" s="158" t="e">
        <f t="shared" ref="Q24" si="1">Q22-Q23</f>
        <v>#REF!</v>
      </c>
      <c r="R24" s="82"/>
      <c r="S24" s="82"/>
    </row>
    <row r="25" spans="1:24" ht="20.45" customHeight="1" x14ac:dyDescent="0.25">
      <c r="A25" s="79" t="str">
        <f>IF($F$3=$A$58,A72,IF($F$3=$A$64,"",IF($F$3=$A$69,"",IF($F$3=$A$71,"",IF($F$3=$A$73,"",IF($F$3=$A$75,"",""))))))</f>
        <v/>
      </c>
      <c r="D25" s="58"/>
      <c r="E25" s="58"/>
      <c r="F25" s="180" t="s">
        <v>11</v>
      </c>
      <c r="G25" s="181"/>
      <c r="H25" s="157">
        <v>0</v>
      </c>
      <c r="I25" s="159">
        <v>0</v>
      </c>
      <c r="J25" s="157">
        <f>IF(A4=1,0,'VALOR NEGOCIADO'!X1)</f>
        <v>0</v>
      </c>
      <c r="K25" s="159"/>
      <c r="L25" s="157">
        <f>IF(A4=1,0,'VALOR NEGOCIADO'!Y1)</f>
        <v>0</v>
      </c>
      <c r="M25" s="159"/>
      <c r="N25" s="157">
        <f>IF(A4=1,0,'VALOR NEGOCIADO'!Z1)</f>
        <v>0</v>
      </c>
      <c r="O25" s="159"/>
      <c r="P25" s="157">
        <f>H25+J25+L25+N25</f>
        <v>0</v>
      </c>
      <c r="Q25" s="158" t="e">
        <f t="shared" ref="Q25" si="2">Q23-Q24</f>
        <v>#REF!</v>
      </c>
      <c r="R25" s="82"/>
      <c r="S25" s="82"/>
    </row>
    <row r="26" spans="1:24" ht="20.45" customHeight="1" x14ac:dyDescent="0.2">
      <c r="D26" s="58"/>
      <c r="E26" s="58"/>
      <c r="F26" s="180" t="s">
        <v>12</v>
      </c>
      <c r="G26" s="181"/>
      <c r="H26" s="157">
        <f>H24-H25</f>
        <v>0</v>
      </c>
      <c r="I26" s="159" t="e">
        <f>I24-I25</f>
        <v>#REF!</v>
      </c>
      <c r="J26" s="157">
        <f t="shared" ref="J26:O26" si="3">J24-J25</f>
        <v>0</v>
      </c>
      <c r="K26" s="159" t="e">
        <f t="shared" si="3"/>
        <v>#REF!</v>
      </c>
      <c r="L26" s="157">
        <f t="shared" si="3"/>
        <v>0</v>
      </c>
      <c r="M26" s="159" t="e">
        <f t="shared" si="3"/>
        <v>#REF!</v>
      </c>
      <c r="N26" s="157">
        <f t="shared" si="3"/>
        <v>0</v>
      </c>
      <c r="O26" s="159" t="e">
        <f t="shared" si="3"/>
        <v>#REF!</v>
      </c>
      <c r="P26" s="157">
        <f>H26+J26+L26+N26</f>
        <v>0</v>
      </c>
      <c r="Q26" s="158" t="e">
        <f t="shared" ref="Q26" si="4">Q24-Q25</f>
        <v>#REF!</v>
      </c>
      <c r="R26" s="82"/>
      <c r="S26" s="82"/>
    </row>
    <row r="27" spans="1:24" ht="20.45" customHeight="1" x14ac:dyDescent="0.2">
      <c r="A27" s="55" t="s">
        <v>22</v>
      </c>
      <c r="D27" s="58"/>
      <c r="E27" s="58"/>
      <c r="F27" s="175" t="s">
        <v>42</v>
      </c>
      <c r="G27" s="176"/>
      <c r="H27" s="160">
        <f>H23+H26</f>
        <v>0</v>
      </c>
      <c r="I27" s="161" t="e">
        <f>I23+I26</f>
        <v>#REF!</v>
      </c>
      <c r="J27" s="160">
        <f t="shared" ref="J27:O27" si="5">J23+J26</f>
        <v>0</v>
      </c>
      <c r="K27" s="161" t="e">
        <f t="shared" si="5"/>
        <v>#REF!</v>
      </c>
      <c r="L27" s="160">
        <f t="shared" si="5"/>
        <v>0</v>
      </c>
      <c r="M27" s="161" t="e">
        <f t="shared" si="5"/>
        <v>#REF!</v>
      </c>
      <c r="N27" s="160">
        <f t="shared" si="5"/>
        <v>0</v>
      </c>
      <c r="O27" s="161" t="e">
        <f t="shared" si="5"/>
        <v>#REF!</v>
      </c>
      <c r="P27" s="157">
        <f>H27+J27+L27+N27</f>
        <v>0</v>
      </c>
      <c r="Q27" s="158" t="e">
        <f t="shared" ref="Q27" si="6">Q25-Q26</f>
        <v>#REF!</v>
      </c>
      <c r="R27" s="83"/>
      <c r="S27" s="60"/>
      <c r="T27" s="84"/>
      <c r="U27" s="85"/>
    </row>
    <row r="28" spans="1:24" ht="20.45" customHeight="1" x14ac:dyDescent="0.2">
      <c r="A28" s="86">
        <f>IF(OR(A3=1,A3=2),100,500)</f>
        <v>100</v>
      </c>
      <c r="D28" s="58"/>
      <c r="E28" s="58"/>
      <c r="F28" s="170" t="s">
        <v>62</v>
      </c>
      <c r="G28" s="171"/>
      <c r="H28" s="153">
        <f>IF(H22=0,0,(H23*$P$28/$P$23))</f>
        <v>0</v>
      </c>
      <c r="I28" s="156" t="e">
        <f>IF(I22=0,0,(I23*#REF!)/#REF!)</f>
        <v>#REF!</v>
      </c>
      <c r="J28" s="153">
        <f>IF(J22=0,0,(J23*$P$28/$P$23))</f>
        <v>0</v>
      </c>
      <c r="K28" s="156" t="e">
        <f>IF(K22=0,0,(K23*#REF!)/#REF!)</f>
        <v>#REF!</v>
      </c>
      <c r="L28" s="153">
        <f>IF(L22=0,0,(L23*$P$28/$P$23))</f>
        <v>0</v>
      </c>
      <c r="M28" s="156" t="e">
        <f>IF(M22=0,0,(M23*#REF!)/#REF!)</f>
        <v>#REF!</v>
      </c>
      <c r="N28" s="153">
        <f>IF(N22=0,0,(N23*$P$28/$P$23))</f>
        <v>0</v>
      </c>
      <c r="O28" s="156" t="e">
        <f>IF(O22=0,0,(O23*#REF!)/#REF!)</f>
        <v>#REF!</v>
      </c>
      <c r="P28" s="153">
        <f>IF(P22=0,0,A41)</f>
        <v>0</v>
      </c>
      <c r="Q28" s="154" t="e">
        <f>IF(Q22=0,0,IF(AND(T34=U34,T34=W35),T34,IF(AND(T34&lt;U34,T34&gt;=W35),#REF!,IF(AND(T34&lt;U34,T34&lt;W35),#REF!))))</f>
        <v>#REF!</v>
      </c>
      <c r="R28" s="81"/>
      <c r="S28" s="60"/>
      <c r="T28" s="87"/>
      <c r="U28" s="88"/>
      <c r="V28" s="89"/>
    </row>
    <row r="29" spans="1:24" ht="20.45" customHeight="1" x14ac:dyDescent="0.2">
      <c r="A29" s="55" t="s">
        <v>33</v>
      </c>
      <c r="D29" s="58"/>
      <c r="E29" s="58"/>
      <c r="F29" s="170" t="s">
        <v>43</v>
      </c>
      <c r="G29" s="171"/>
      <c r="H29" s="153">
        <f>IF(P29="","",IF(H22=0,0,(H26*$P$29/$P$26)))</f>
        <v>0</v>
      </c>
      <c r="I29" s="156" t="e">
        <f>IF(I23=0,0,(I24*#REF!)/#REF!)</f>
        <v>#REF!</v>
      </c>
      <c r="J29" s="153">
        <f>IF(P29="","",IF(J22=0,0,(J26*$P$29/$P$26)))</f>
        <v>0</v>
      </c>
      <c r="K29" s="156" t="e">
        <f>IF(K23=0,0,(K24*#REF!)/#REF!)</f>
        <v>#REF!</v>
      </c>
      <c r="L29" s="153">
        <f>IF(P29="","",IF(L22=0,0,(L26*$P$29/$P$26)))</f>
        <v>0</v>
      </c>
      <c r="M29" s="156" t="e">
        <f>IF(M23=0,0,(M24*#REF!)/#REF!)</f>
        <v>#REF!</v>
      </c>
      <c r="N29" s="153">
        <f>IF(P29="","",IF(N22=0,0,(N26*$P$29/$P$26)))</f>
        <v>0</v>
      </c>
      <c r="O29" s="156" t="e">
        <f>IF(O23=0,0,(O24*#REF!)/#REF!)</f>
        <v>#REF!</v>
      </c>
      <c r="P29" s="153">
        <f>IF(A35="","",IF(B49&gt;A49,A49,B49))</f>
        <v>0</v>
      </c>
      <c r="Q29" s="154" t="e">
        <f>IF(Q23=0,0,IF(AND(T36=U36,T36=W37),T36,IF(AND(T36&lt;U36,T36&gt;=W37),#REF!,IF(AND(T36&lt;U36,T36&lt;W37),#REF!))))</f>
        <v>#REF!</v>
      </c>
      <c r="R29" s="81"/>
      <c r="S29" s="60"/>
      <c r="T29" s="87"/>
      <c r="U29" s="88"/>
      <c r="V29" s="89"/>
    </row>
    <row r="30" spans="1:24" ht="15.6" customHeight="1" thickBot="1" x14ac:dyDescent="0.25">
      <c r="A30" s="90">
        <f>IF(I10="","Informe Receita ou Rendimento",IF(A3=4,"não há",IF(A3=1,I10*5%,I10*1%)))</f>
        <v>0.05</v>
      </c>
      <c r="D30" s="58"/>
      <c r="E30" s="73"/>
      <c r="F30" s="75"/>
      <c r="G30" s="75"/>
      <c r="H30" s="75"/>
      <c r="I30" s="75"/>
      <c r="J30" s="75"/>
      <c r="K30" s="75"/>
      <c r="L30" s="75"/>
      <c r="M30" s="75"/>
      <c r="N30" s="162"/>
      <c r="O30" s="162"/>
      <c r="P30" s="75"/>
      <c r="Q30" s="75"/>
      <c r="R30" s="76"/>
      <c r="S30" s="60"/>
      <c r="T30" s="91"/>
      <c r="U30" s="92"/>
      <c r="V30" s="89"/>
    </row>
    <row r="31" spans="1:24" ht="17.100000000000001" customHeight="1" thickTop="1" thickBot="1" x14ac:dyDescent="0.25">
      <c r="A31" s="90"/>
      <c r="D31" s="73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6"/>
      <c r="T31" s="93"/>
      <c r="U31" s="89"/>
      <c r="V31" s="89"/>
      <c r="W31" s="89"/>
      <c r="X31" s="89"/>
    </row>
    <row r="32" spans="1:24" ht="15" thickTop="1" x14ac:dyDescent="0.2">
      <c r="A32" s="62" t="s">
        <v>31</v>
      </c>
      <c r="V32" s="89"/>
      <c r="W32" s="89"/>
      <c r="X32" s="89"/>
    </row>
    <row r="33" spans="1:24" ht="15" x14ac:dyDescent="0.25">
      <c r="A33" s="94">
        <f>P23/12</f>
        <v>0</v>
      </c>
      <c r="M33"/>
      <c r="N33" s="53"/>
      <c r="O33"/>
      <c r="P33"/>
      <c r="Q33" s="43"/>
    </row>
    <row r="34" spans="1:24" ht="15" x14ac:dyDescent="0.25">
      <c r="A34" s="62" t="s">
        <v>32</v>
      </c>
      <c r="F34"/>
      <c r="G34" s="43"/>
      <c r="H34"/>
      <c r="I34"/>
      <c r="J34"/>
      <c r="K34"/>
      <c r="L34"/>
      <c r="M34" s="163"/>
      <c r="N34" s="163"/>
      <c r="O34"/>
      <c r="P34"/>
      <c r="Q34" s="43"/>
      <c r="R34"/>
      <c r="S34"/>
      <c r="T34"/>
      <c r="U34"/>
    </row>
    <row r="35" spans="1:24" ht="15" x14ac:dyDescent="0.25">
      <c r="A35" s="62">
        <f>IF(A1="","",P26/I12)</f>
        <v>0</v>
      </c>
      <c r="F35"/>
      <c r="G35" s="9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4" ht="15" x14ac:dyDescent="0.25">
      <c r="A36" s="96" t="s">
        <v>34</v>
      </c>
      <c r="F36"/>
      <c r="G36" s="97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98"/>
    </row>
    <row r="37" spans="1:24" ht="15" x14ac:dyDescent="0.25">
      <c r="A37" s="96">
        <f>P23</f>
        <v>0</v>
      </c>
      <c r="F37"/>
      <c r="G37" s="97"/>
      <c r="H37"/>
      <c r="I37"/>
      <c r="J37"/>
      <c r="K37"/>
      <c r="L37"/>
      <c r="M37"/>
      <c r="N37"/>
      <c r="O37"/>
      <c r="P37" s="43"/>
      <c r="Q37"/>
      <c r="R37"/>
      <c r="S37"/>
      <c r="T37"/>
      <c r="U37"/>
      <c r="V37"/>
      <c r="W37" s="99"/>
      <c r="X37" s="89"/>
    </row>
    <row r="38" spans="1:24" ht="15" x14ac:dyDescent="0.25">
      <c r="A38" s="96">
        <f>MAX(A33,A28)</f>
        <v>100</v>
      </c>
      <c r="B38" s="86">
        <f>A37/A38</f>
        <v>0</v>
      </c>
      <c r="F38"/>
      <c r="G38" s="100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99"/>
      <c r="X38" s="89"/>
    </row>
    <row r="39" spans="1:24" ht="15" x14ac:dyDescent="0.25">
      <c r="A39" s="101">
        <f>IF(ROUND(($P$23/$A$38),0)=0,1,ROUNDDOWN((P23/A38),0))</f>
        <v>1</v>
      </c>
      <c r="B39" s="102"/>
      <c r="F39"/>
      <c r="G39" s="53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99"/>
      <c r="X39" s="89"/>
    </row>
    <row r="40" spans="1:24" ht="15" x14ac:dyDescent="0.25">
      <c r="A40" s="103">
        <f>A38*A39</f>
        <v>100</v>
      </c>
      <c r="B40" s="102"/>
      <c r="F40"/>
      <c r="G40" s="43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 s="98"/>
    </row>
    <row r="41" spans="1:24" ht="15" x14ac:dyDescent="0.25">
      <c r="A41" s="96">
        <f>IF(A33=A38,A33,IF(A33&gt;=A38,A33,IF(A33&lt;A38,(ROUND((P23/A39),2)))))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 s="98"/>
    </row>
    <row r="42" spans="1:24" ht="15" x14ac:dyDescent="0.25">
      <c r="A42" s="86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 s="98"/>
    </row>
    <row r="43" spans="1:24" ht="15" x14ac:dyDescent="0.25">
      <c r="A43" s="86"/>
      <c r="E43"/>
      <c r="F43"/>
      <c r="G43"/>
      <c r="H43"/>
      <c r="I43"/>
      <c r="J43"/>
      <c r="K43"/>
      <c r="L43"/>
      <c r="M43"/>
      <c r="N43"/>
      <c r="O43" s="43"/>
      <c r="P43"/>
      <c r="Q43"/>
      <c r="R43"/>
      <c r="S43"/>
      <c r="T43"/>
      <c r="U43"/>
      <c r="V43"/>
      <c r="W43" s="98"/>
    </row>
    <row r="44" spans="1:24" ht="15" x14ac:dyDescent="0.25">
      <c r="A44" s="86"/>
      <c r="B44" s="86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 s="98"/>
    </row>
    <row r="45" spans="1:24" ht="15" x14ac:dyDescent="0.25">
      <c r="A45" s="104"/>
      <c r="B45" s="104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4" ht="15" x14ac:dyDescent="0.25">
      <c r="A46" s="105"/>
      <c r="B46" s="104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4" ht="15" x14ac:dyDescent="0.25">
      <c r="A47" s="86"/>
      <c r="G47"/>
      <c r="H47"/>
      <c r="I47"/>
      <c r="J47"/>
      <c r="K47"/>
      <c r="L47"/>
      <c r="M47"/>
      <c r="N47"/>
      <c r="O47"/>
      <c r="P47"/>
      <c r="Q47"/>
      <c r="V47"/>
    </row>
    <row r="48" spans="1:24" ht="15" x14ac:dyDescent="0.25">
      <c r="A48" s="86"/>
      <c r="F48" s="85"/>
      <c r="G48"/>
      <c r="H48"/>
      <c r="I48"/>
      <c r="J48"/>
      <c r="K48"/>
      <c r="L48"/>
      <c r="M48"/>
      <c r="N48"/>
      <c r="O48"/>
      <c r="P48"/>
      <c r="Q48"/>
    </row>
    <row r="49" spans="1:22" ht="15" x14ac:dyDescent="0.25">
      <c r="A49" s="106">
        <f>P26</f>
        <v>0</v>
      </c>
      <c r="B49" s="107">
        <f>IF(AND(A52&gt;A51,A52&gt;A49),A49,A52)</f>
        <v>0</v>
      </c>
    </row>
    <row r="50" spans="1:22" ht="15" x14ac:dyDescent="0.25">
      <c r="A50" s="108">
        <f>A1-A39</f>
        <v>144</v>
      </c>
      <c r="B50" s="104">
        <f>IF(A52&lt;A51,A50,A53)</f>
        <v>1</v>
      </c>
    </row>
    <row r="51" spans="1:22" ht="15" x14ac:dyDescent="0.25">
      <c r="A51" s="109">
        <f>A49/A50</f>
        <v>0</v>
      </c>
      <c r="B51" s="107">
        <f>IF(A55&gt;0,A55,0)</f>
        <v>0</v>
      </c>
    </row>
    <row r="52" spans="1:22" ht="15" x14ac:dyDescent="0.25">
      <c r="A52" s="109">
        <f>MAX(A28,A30,A51)</f>
        <v>100</v>
      </c>
      <c r="B52" s="104">
        <f>IF(B51&lt;=0,0,1)</f>
        <v>0</v>
      </c>
    </row>
    <row r="53" spans="1:22" ht="15" x14ac:dyDescent="0.25">
      <c r="A53" s="110">
        <f>IF((ROUNDDOWN((A49/A52),0))=0,1,ROUNDDOWN((A49/A52),0))</f>
        <v>1</v>
      </c>
      <c r="B53" s="86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2" ht="15" x14ac:dyDescent="0.25">
      <c r="A54" s="111">
        <f>IF((A52*A53)=0,1,A52*A53)</f>
        <v>100</v>
      </c>
      <c r="B54" s="86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t="15" x14ac:dyDescent="0.25">
      <c r="A55" s="106">
        <f>IF(B49=A49,0,A49-A54)</f>
        <v>0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t="15" x14ac:dyDescent="0.25">
      <c r="A56" s="8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t="15" x14ac:dyDescent="0.25">
      <c r="A57" s="55" t="s">
        <v>17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t="15" x14ac:dyDescent="0.25">
      <c r="A58" s="55" t="s">
        <v>18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t="15" x14ac:dyDescent="0.25">
      <c r="A59" s="55" t="s">
        <v>75</v>
      </c>
      <c r="B59" s="113">
        <v>0.7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t="15" x14ac:dyDescent="0.25">
      <c r="A60" s="55" t="s">
        <v>76</v>
      </c>
      <c r="B60" s="113">
        <v>0.6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t="15" x14ac:dyDescent="0.25">
      <c r="A61" s="55" t="s">
        <v>77</v>
      </c>
      <c r="B61" s="113">
        <v>0.5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t="15" x14ac:dyDescent="0.25">
      <c r="A62" s="55" t="s">
        <v>78</v>
      </c>
      <c r="B62" s="113">
        <v>0.4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t="15" x14ac:dyDescent="0.25">
      <c r="A63" s="55" t="s">
        <v>79</v>
      </c>
      <c r="B63" s="113">
        <v>0.3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t="15" x14ac:dyDescent="0.25">
      <c r="A64" s="55" t="s">
        <v>19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t="15" x14ac:dyDescent="0.25">
      <c r="A65" s="55" t="s">
        <v>69</v>
      </c>
      <c r="B65" s="113">
        <v>0.65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t="15" x14ac:dyDescent="0.25">
      <c r="A66" s="55" t="s">
        <v>70</v>
      </c>
      <c r="B66" s="113">
        <v>0.55000000000000004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t="15" x14ac:dyDescent="0.25">
      <c r="A67" s="55" t="s">
        <v>71</v>
      </c>
      <c r="B67" s="113">
        <v>0.45</v>
      </c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t="15" x14ac:dyDescent="0.25">
      <c r="A68" s="55" t="s">
        <v>72</v>
      </c>
      <c r="B68" s="113">
        <v>0.35</v>
      </c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t="15" x14ac:dyDescent="0.25">
      <c r="A69" s="55" t="s">
        <v>20</v>
      </c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t="15" x14ac:dyDescent="0.25">
      <c r="A70" s="55" t="s">
        <v>80</v>
      </c>
      <c r="B70" s="113">
        <v>0.7</v>
      </c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t="15" x14ac:dyDescent="0.25">
      <c r="A71" s="55" t="s">
        <v>59</v>
      </c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1:22" ht="15" x14ac:dyDescent="0.25">
      <c r="A72" s="55" t="s">
        <v>81</v>
      </c>
      <c r="B72" s="113">
        <v>0.7</v>
      </c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spans="1:22" ht="15" x14ac:dyDescent="0.25">
      <c r="A73" s="55" t="s">
        <v>60</v>
      </c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spans="1:22" ht="15" x14ac:dyDescent="0.25">
      <c r="A74" s="55" t="s">
        <v>73</v>
      </c>
      <c r="B74" s="113">
        <v>0.65</v>
      </c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1:22" ht="15" x14ac:dyDescent="0.25">
      <c r="A75" s="55" t="s">
        <v>21</v>
      </c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1:22" ht="15" x14ac:dyDescent="0.25">
      <c r="A76" s="55" t="s">
        <v>74</v>
      </c>
      <c r="B76" s="113">
        <v>0.65</v>
      </c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1:22" ht="15" x14ac:dyDescent="0.25"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1:22" ht="15" x14ac:dyDescent="0.25"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1:22" ht="15" x14ac:dyDescent="0.25">
      <c r="A79" s="55" t="s">
        <v>18</v>
      </c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1:22" ht="15" x14ac:dyDescent="0.25">
      <c r="A80" s="55" t="s">
        <v>19</v>
      </c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1:22" ht="15" x14ac:dyDescent="0.25">
      <c r="A81" s="55" t="s">
        <v>20</v>
      </c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spans="1:22" ht="15" x14ac:dyDescent="0.25">
      <c r="A82" s="55" t="s">
        <v>21</v>
      </c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spans="1:22" ht="15" x14ac:dyDescent="0.25"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spans="1:22" ht="15" x14ac:dyDescent="0.25"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spans="1:22" ht="15" x14ac:dyDescent="0.25">
      <c r="A85" s="55" t="s">
        <v>23</v>
      </c>
      <c r="V85"/>
    </row>
    <row r="86" spans="1:22" x14ac:dyDescent="0.2">
      <c r="A86" s="55" t="s">
        <v>24</v>
      </c>
    </row>
    <row r="87" spans="1:22" x14ac:dyDescent="0.2">
      <c r="A87" s="55" t="s">
        <v>25</v>
      </c>
    </row>
    <row r="91" spans="1:22" x14ac:dyDescent="0.2">
      <c r="A91" s="55" t="s">
        <v>26</v>
      </c>
    </row>
    <row r="92" spans="1:22" x14ac:dyDescent="0.2">
      <c r="A92" s="55" t="s">
        <v>28</v>
      </c>
    </row>
    <row r="93" spans="1:22" x14ac:dyDescent="0.2">
      <c r="A93" s="55" t="s">
        <v>27</v>
      </c>
    </row>
    <row r="94" spans="1:22" x14ac:dyDescent="0.2">
      <c r="A94" s="55" t="s">
        <v>28</v>
      </c>
    </row>
    <row r="95" spans="1:22" x14ac:dyDescent="0.2">
      <c r="A95" s="55" t="s">
        <v>29</v>
      </c>
    </row>
    <row r="96" spans="1:22" x14ac:dyDescent="0.2">
      <c r="A96" s="55" t="s">
        <v>30</v>
      </c>
    </row>
    <row r="101" spans="1:1" x14ac:dyDescent="0.2">
      <c r="A101" s="55" t="s">
        <v>39</v>
      </c>
    </row>
    <row r="102" spans="1:1" x14ac:dyDescent="0.2">
      <c r="A102" s="55" t="s">
        <v>40</v>
      </c>
    </row>
  </sheetData>
  <sheetProtection algorithmName="SHA-512" hashValue="4LDITYtgnp0Qxt2emJsirjCSxGmh9ug2/FCHV+NCISaPEOqgmVUIsIY+hCoq7+g6dQsoC20lyQQpuPUFHYuVkQ==" saltValue="1HKrmNI4uPKs6FRaq0HShA==" spinCount="100000" sheet="1" objects="1" scenarios="1" selectLockedCells="1" selectUnlockedCells="1"/>
  <mergeCells count="70">
    <mergeCell ref="L21:M21"/>
    <mergeCell ref="L22:M22"/>
    <mergeCell ref="L23:M23"/>
    <mergeCell ref="L24:M24"/>
    <mergeCell ref="F3:Q3"/>
    <mergeCell ref="F5:Q5"/>
    <mergeCell ref="N21:O21"/>
    <mergeCell ref="N22:O22"/>
    <mergeCell ref="N23:O23"/>
    <mergeCell ref="N24:O24"/>
    <mergeCell ref="I9:J9"/>
    <mergeCell ref="I10:J10"/>
    <mergeCell ref="I11:J11"/>
    <mergeCell ref="I12:J12"/>
    <mergeCell ref="I13:J13"/>
    <mergeCell ref="M7:R18"/>
    <mergeCell ref="D2:S2"/>
    <mergeCell ref="F27:G27"/>
    <mergeCell ref="F28:G28"/>
    <mergeCell ref="F21:G21"/>
    <mergeCell ref="F22:G22"/>
    <mergeCell ref="F23:G23"/>
    <mergeCell ref="F24:G24"/>
    <mergeCell ref="F25:G25"/>
    <mergeCell ref="F26:G26"/>
    <mergeCell ref="N28:O28"/>
    <mergeCell ref="P21:Q21"/>
    <mergeCell ref="P22:Q22"/>
    <mergeCell ref="J21:K21"/>
    <mergeCell ref="J22:K22"/>
    <mergeCell ref="J23:K23"/>
    <mergeCell ref="J24:K24"/>
    <mergeCell ref="F29:G29"/>
    <mergeCell ref="J29:K29"/>
    <mergeCell ref="L29:M29"/>
    <mergeCell ref="N29:O29"/>
    <mergeCell ref="J25:K25"/>
    <mergeCell ref="J27:K27"/>
    <mergeCell ref="N30:O30"/>
    <mergeCell ref="M34:N34"/>
    <mergeCell ref="I14:J14"/>
    <mergeCell ref="I15:J15"/>
    <mergeCell ref="I16:J16"/>
    <mergeCell ref="L25:M25"/>
    <mergeCell ref="L26:M26"/>
    <mergeCell ref="L27:M27"/>
    <mergeCell ref="L28:M28"/>
    <mergeCell ref="N26:O26"/>
    <mergeCell ref="N27:O27"/>
    <mergeCell ref="J28:K28"/>
    <mergeCell ref="H21:I21"/>
    <mergeCell ref="H22:I22"/>
    <mergeCell ref="H23:I23"/>
    <mergeCell ref="H24:I24"/>
    <mergeCell ref="I8:J8"/>
    <mergeCell ref="P29:Q29"/>
    <mergeCell ref="I17:J17"/>
    <mergeCell ref="H29:I29"/>
    <mergeCell ref="P23:Q23"/>
    <mergeCell ref="P24:Q24"/>
    <mergeCell ref="P25:Q25"/>
    <mergeCell ref="P26:Q26"/>
    <mergeCell ref="N25:O25"/>
    <mergeCell ref="P27:Q27"/>
    <mergeCell ref="P28:Q28"/>
    <mergeCell ref="H25:I25"/>
    <mergeCell ref="H26:I26"/>
    <mergeCell ref="H27:I27"/>
    <mergeCell ref="H28:I28"/>
    <mergeCell ref="J26:K26"/>
  </mergeCells>
  <conditionalFormatting sqref="F5:Q5">
    <cfRule type="expression" dxfId="0" priority="1">
      <formula>$A$18=1</formula>
    </cfRule>
  </conditionalFormatting>
  <dataValidations count="2">
    <dataValidation type="whole" operator="lessThanOrEqual" allowBlank="1" showInputMessage="1" showErrorMessage="1" error="VERIFIQUE A QUANTIDADE PERMITIDA DE PARCELAS PARA SUA MODALIDADE" sqref="I12:J12" xr:uid="{9F39EF0E-610D-41E6-AA12-3B139021333D}">
      <formula1>A1</formula1>
    </dataValidation>
    <dataValidation type="list" allowBlank="1" showInputMessage="1" showErrorMessage="1" sqref="F5:Q5" xr:uid="{91319850-D349-4BFC-B28B-EAE481C7EBBD}">
      <formula1>$A$20:$A$26</formula1>
    </dataValidation>
  </dataValidations>
  <pageMargins left="0.25" right="0.25" top="0.75" bottom="0.75" header="0.3" footer="0.3"/>
  <pageSetup paperSize="9" scale="47" orientation="landscape" r:id="rId1"/>
  <ignoredErrors>
    <ignoredError sqref="J13 Q22 I22 I23 K22 H25:I25 I24 Q24 J12 I29 M22 O22 K23 M23 O23 Q23 K24 M24 O24 H27:I27 I26 I28" unlockedFormula="1"/>
    <ignoredError sqref="J26:Q27 K29 Q29 O29 M29 J28:O28 Q28 K25 M25 O25:Q25" formula="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Group Box 18">
              <controlPr defaultSize="0" autoFill="0" autoPict="0">
                <anchor moveWithCells="1">
                  <from>
                    <xdr:col>3</xdr:col>
                    <xdr:colOff>219075</xdr:colOff>
                    <xdr:row>3</xdr:row>
                    <xdr:rowOff>257175</xdr:rowOff>
                  </from>
                  <to>
                    <xdr:col>17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CAPACIDADE DE PAGAMENTO</vt:lpstr>
      <vt:lpstr>VALOR NEGOCIADO</vt:lpstr>
      <vt:lpstr>CÁLCULO</vt:lpstr>
      <vt:lpstr>Modalidades</vt:lpstr>
      <vt:lpstr>Parcelas_Pedágio</vt:lpstr>
      <vt:lpstr>Personalidade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PGFN</dc:creator>
  <cp:lastModifiedBy>Theo  Lucas Borges de Lima Dias</cp:lastModifiedBy>
  <cp:lastPrinted>2021-02-11T21:18:36Z</cp:lastPrinted>
  <dcterms:created xsi:type="dcterms:W3CDTF">2020-06-24T21:04:39Z</dcterms:created>
  <dcterms:modified xsi:type="dcterms:W3CDTF">2024-05-29T19:09:20Z</dcterms:modified>
</cp:coreProperties>
</file>