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10.65.4.15\grupo$\CPL\2024\PREGÕES\LIMPEZA  08320.007246-2023-04\"/>
    </mc:Choice>
  </mc:AlternateContent>
  <xr:revisionPtr revIDLastSave="0" documentId="13_ncr:1_{26143B0E-78AC-4825-8805-20851EF556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SUMO" sheetId="6" r:id="rId1"/>
    <sheet name="ITENS DE HIGIENE PESSOAL FO (2)" sheetId="29" r:id="rId2"/>
    <sheet name="ITENS DE HIGIENE PESSOAL FORA" sheetId="28" r:id="rId3"/>
    <sheet name="CUIABÁ" sheetId="8" r:id="rId4"/>
    <sheet name="CUIABÁ LÍDER" sheetId="17" r:id="rId5"/>
    <sheet name="POSTO GOIABEIRAS" sheetId="20" r:id="rId6"/>
    <sheet name="BASE GISE" sheetId="19" r:id="rId7"/>
    <sheet name="CÁCERES" sheetId="21" r:id="rId8"/>
    <sheet name="RONDONÓPOLIS" sheetId="22" r:id="rId9"/>
    <sheet name="SINOP" sheetId="23" r:id="rId10"/>
    <sheet name="BRG" sheetId="24" r:id="rId11"/>
    <sheet name="PONTES E LACERDA" sheetId="26" r:id="rId12"/>
    <sheet name="ÁREAS CONVERTIDAS" sheetId="16" r:id="rId13"/>
    <sheet name="UNIFORMES" sheetId="5" r:id="rId14"/>
    <sheet name="MATERIAIS" sheetId="13" r:id="rId15"/>
    <sheet name="UTENSÍLIOS" sheetId="12" r:id="rId16"/>
    <sheet name="EQUIPAMENTOS " sheetId="1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6" l="1"/>
  <c r="D52" i="26"/>
  <c r="C44" i="26"/>
  <c r="C44" i="24"/>
  <c r="C44" i="23"/>
  <c r="C44" i="22"/>
  <c r="C44" i="21"/>
  <c r="C43" i="19"/>
  <c r="C43" i="20"/>
  <c r="C42" i="26"/>
  <c r="C42" i="24"/>
  <c r="C42" i="23"/>
  <c r="C42" i="22"/>
  <c r="C42" i="21"/>
  <c r="C41" i="19"/>
  <c r="C41" i="20"/>
  <c r="C43" i="17"/>
  <c r="C43" i="8"/>
  <c r="G64" i="29"/>
  <c r="I64" i="29" s="1"/>
  <c r="G63" i="29"/>
  <c r="I63" i="29" s="1"/>
  <c r="G62" i="29"/>
  <c r="I62" i="29" s="1"/>
  <c r="G56" i="29"/>
  <c r="I56" i="29" s="1"/>
  <c r="G55" i="29"/>
  <c r="I55" i="29" s="1"/>
  <c r="G54" i="29"/>
  <c r="I54" i="29" s="1"/>
  <c r="I48" i="29"/>
  <c r="G48" i="29"/>
  <c r="I47" i="29"/>
  <c r="G47" i="29"/>
  <c r="G46" i="29"/>
  <c r="I46" i="29" s="1"/>
  <c r="I49" i="29" s="1"/>
  <c r="G40" i="29"/>
  <c r="I40" i="29" s="1"/>
  <c r="G39" i="29"/>
  <c r="I39" i="29" s="1"/>
  <c r="G38" i="29"/>
  <c r="I38" i="29" s="1"/>
  <c r="I32" i="29"/>
  <c r="G32" i="29"/>
  <c r="G31" i="29"/>
  <c r="I31" i="29" s="1"/>
  <c r="G30" i="29"/>
  <c r="I30" i="29" s="1"/>
  <c r="G24" i="29"/>
  <c r="I24" i="29" s="1"/>
  <c r="I23" i="29"/>
  <c r="G22" i="29"/>
  <c r="I22" i="29" s="1"/>
  <c r="G16" i="29"/>
  <c r="I16" i="29" s="1"/>
  <c r="G15" i="29"/>
  <c r="I15" i="29" s="1"/>
  <c r="G14" i="29"/>
  <c r="I14" i="29" s="1"/>
  <c r="G8" i="29"/>
  <c r="I8" i="29" s="1"/>
  <c r="G7" i="29"/>
  <c r="I7" i="29" s="1"/>
  <c r="G6" i="29"/>
  <c r="I6" i="29" s="1"/>
  <c r="G5" i="29"/>
  <c r="I5" i="29" s="1"/>
  <c r="G57" i="28"/>
  <c r="I57" i="28" s="1"/>
  <c r="G56" i="28"/>
  <c r="I56" i="28" s="1"/>
  <c r="G55" i="28"/>
  <c r="I55" i="28" s="1"/>
  <c r="G48" i="28"/>
  <c r="I48" i="28" s="1"/>
  <c r="G49" i="28"/>
  <c r="I49" i="28" s="1"/>
  <c r="G47" i="28"/>
  <c r="I47" i="28" s="1"/>
  <c r="G72" i="28"/>
  <c r="I72" i="28" s="1"/>
  <c r="G73" i="28"/>
  <c r="I73" i="28" s="1"/>
  <c r="G71" i="28"/>
  <c r="I71" i="28" s="1"/>
  <c r="G40" i="28"/>
  <c r="I40" i="28" s="1"/>
  <c r="G41" i="28"/>
  <c r="I41" i="28" s="1"/>
  <c r="G39" i="28"/>
  <c r="I39" i="28" s="1"/>
  <c r="G64" i="28"/>
  <c r="I64" i="28" s="1"/>
  <c r="G65" i="28"/>
  <c r="I65" i="28" s="1"/>
  <c r="G63" i="28"/>
  <c r="I63" i="28" s="1"/>
  <c r="G24" i="28"/>
  <c r="I24" i="28" s="1"/>
  <c r="G25" i="28"/>
  <c r="I25" i="28" s="1"/>
  <c r="G23" i="28"/>
  <c r="I23" i="28" s="1"/>
  <c r="I32" i="28"/>
  <c r="G33" i="28"/>
  <c r="I33" i="28" s="1"/>
  <c r="G31" i="28"/>
  <c r="I31" i="28" s="1"/>
  <c r="G15" i="28"/>
  <c r="I15" i="28" s="1"/>
  <c r="G16" i="28"/>
  <c r="I16" i="28" s="1"/>
  <c r="G17" i="28"/>
  <c r="I17" i="28" s="1"/>
  <c r="G14" i="28"/>
  <c r="I14" i="28" s="1"/>
  <c r="E159" i="16"/>
  <c r="E164" i="16"/>
  <c r="C188" i="16"/>
  <c r="E187" i="16"/>
  <c r="F187" i="16" s="1"/>
  <c r="G187" i="16" s="1"/>
  <c r="E186" i="16"/>
  <c r="F186" i="16" s="1"/>
  <c r="I25" i="29" l="1"/>
  <c r="G25" i="29" s="1"/>
  <c r="I41" i="29"/>
  <c r="G41" i="29" s="1"/>
  <c r="I33" i="29"/>
  <c r="G33" i="29" s="1"/>
  <c r="I57" i="29"/>
  <c r="G57" i="29" s="1"/>
  <c r="I17" i="29"/>
  <c r="G17" i="29" s="1"/>
  <c r="I68" i="29"/>
  <c r="G49" i="29"/>
  <c r="I9" i="29"/>
  <c r="G9" i="29" s="1"/>
  <c r="I65" i="29"/>
  <c r="G65" i="29" s="1"/>
  <c r="I42" i="28"/>
  <c r="G42" i="28" s="1"/>
  <c r="E11" i="6" s="1"/>
  <c r="I50" i="28"/>
  <c r="G50" i="28" s="1"/>
  <c r="E13" i="6" s="1"/>
  <c r="I66" i="28"/>
  <c r="I58" i="28"/>
  <c r="I74" i="28"/>
  <c r="G74" i="28" s="1"/>
  <c r="E19" i="6" s="1"/>
  <c r="I26" i="28"/>
  <c r="G26" i="28" s="1"/>
  <c r="E7" i="6" s="1"/>
  <c r="I34" i="28"/>
  <c r="G34" i="28" s="1"/>
  <c r="E9" i="6" s="1"/>
  <c r="I18" i="28"/>
  <c r="G18" i="28" s="1"/>
  <c r="E5" i="6" s="1"/>
  <c r="G186" i="16"/>
  <c r="G188" i="16" s="1"/>
  <c r="F188" i="16"/>
  <c r="G58" i="28" l="1"/>
  <c r="E15" i="6" s="1"/>
  <c r="I77" i="28"/>
  <c r="G66" i="28"/>
  <c r="E17" i="6" s="1"/>
  <c r="C21" i="26"/>
  <c r="E154" i="16"/>
  <c r="E153" i="16"/>
  <c r="F85" i="10"/>
  <c r="F74" i="10"/>
  <c r="F48" i="10"/>
  <c r="F39" i="10"/>
  <c r="F61" i="10"/>
  <c r="F27" i="10"/>
  <c r="F26" i="10"/>
  <c r="F17" i="10"/>
  <c r="F18" i="10" s="1"/>
  <c r="F19" i="10" s="1"/>
  <c r="F20" i="10" s="1"/>
  <c r="F21" i="10" s="1"/>
  <c r="C131" i="20" s="1"/>
  <c r="F8" i="10"/>
  <c r="F119" i="12"/>
  <c r="F32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E181" i="16"/>
  <c r="F181" i="16" s="1"/>
  <c r="E176" i="16"/>
  <c r="E175" i="16"/>
  <c r="C176" i="16"/>
  <c r="C182" i="16"/>
  <c r="F215" i="13" l="1"/>
  <c r="F216" i="13" s="1"/>
  <c r="C130" i="26" s="1"/>
  <c r="F49" i="10"/>
  <c r="F50" i="10" s="1"/>
  <c r="F51" i="10" s="1"/>
  <c r="F52" i="10" s="1"/>
  <c r="C132" i="26" s="1"/>
  <c r="F28" i="10"/>
  <c r="F29" i="10" s="1"/>
  <c r="F30" i="10" s="1"/>
  <c r="F31" i="10" s="1"/>
  <c r="C131" i="19" s="1"/>
  <c r="F254" i="12"/>
  <c r="F255" i="12" s="1"/>
  <c r="F256" i="12" s="1"/>
  <c r="F257" i="12" s="1"/>
  <c r="C131" i="26" s="1"/>
  <c r="F176" i="16"/>
  <c r="G176" i="16" s="1"/>
  <c r="C177" i="16"/>
  <c r="F182" i="16"/>
  <c r="G181" i="16"/>
  <c r="G182" i="16" s="1"/>
  <c r="F175" i="16"/>
  <c r="F177" i="16" l="1"/>
  <c r="G192" i="16" s="1"/>
  <c r="G175" i="16"/>
  <c r="G177" i="16" s="1"/>
  <c r="G193" i="16" s="1"/>
  <c r="F19" i="6" l="1"/>
  <c r="C146" i="26"/>
  <c r="C76" i="26"/>
  <c r="C79" i="26" s="1"/>
  <c r="C87" i="26" s="1"/>
  <c r="C67" i="26"/>
  <c r="C69" i="26" s="1"/>
  <c r="C41" i="26"/>
  <c r="C26" i="26"/>
  <c r="C146" i="24"/>
  <c r="C76" i="24"/>
  <c r="C67" i="24"/>
  <c r="C69" i="24" s="1"/>
  <c r="C41" i="24"/>
  <c r="C75" i="24" s="1"/>
  <c r="C21" i="24"/>
  <c r="C26" i="24" s="1"/>
  <c r="C146" i="23"/>
  <c r="C76" i="23"/>
  <c r="C67" i="23"/>
  <c r="C69" i="23" s="1"/>
  <c r="C41" i="23"/>
  <c r="C21" i="23"/>
  <c r="C26" i="23" s="1"/>
  <c r="C79" i="24" l="1"/>
  <c r="C87" i="24" s="1"/>
  <c r="C79" i="23"/>
  <c r="C87" i="23" s="1"/>
  <c r="C146" i="22" l="1"/>
  <c r="C76" i="22"/>
  <c r="C67" i="22"/>
  <c r="C69" i="22" s="1"/>
  <c r="C41" i="22"/>
  <c r="C75" i="22" s="1"/>
  <c r="C21" i="22"/>
  <c r="C26" i="22" s="1"/>
  <c r="C146" i="21"/>
  <c r="C76" i="21"/>
  <c r="C67" i="21"/>
  <c r="C69" i="21" s="1"/>
  <c r="C41" i="21"/>
  <c r="C21" i="21"/>
  <c r="C26" i="21" s="1"/>
  <c r="C145" i="20"/>
  <c r="C75" i="20"/>
  <c r="C66" i="20"/>
  <c r="C68" i="20" s="1"/>
  <c r="C40" i="20"/>
  <c r="C74" i="20" s="1"/>
  <c r="C20" i="20"/>
  <c r="C25" i="20" s="1"/>
  <c r="C145" i="19"/>
  <c r="C75" i="19"/>
  <c r="C66" i="19"/>
  <c r="C68" i="19" s="1"/>
  <c r="C40" i="19"/>
  <c r="C74" i="19" s="1"/>
  <c r="C20" i="19"/>
  <c r="C25" i="19" s="1"/>
  <c r="C60" i="16"/>
  <c r="E59" i="16"/>
  <c r="F59" i="16" s="1"/>
  <c r="E54" i="16"/>
  <c r="C54" i="16"/>
  <c r="C55" i="16" s="1"/>
  <c r="C45" i="16"/>
  <c r="E44" i="16"/>
  <c r="F44" i="16" s="1"/>
  <c r="E39" i="16"/>
  <c r="C39" i="16"/>
  <c r="C40" i="16" s="1"/>
  <c r="C165" i="16"/>
  <c r="F164" i="16"/>
  <c r="C160" i="16"/>
  <c r="F159" i="16"/>
  <c r="C154" i="16"/>
  <c r="C153" i="16"/>
  <c r="C144" i="16"/>
  <c r="E143" i="16"/>
  <c r="F143" i="16" s="1"/>
  <c r="C139" i="16"/>
  <c r="E138" i="16"/>
  <c r="F138" i="16" s="1"/>
  <c r="G138" i="16" s="1"/>
  <c r="E137" i="16"/>
  <c r="F137" i="16" s="1"/>
  <c r="G137" i="16" s="1"/>
  <c r="E136" i="16"/>
  <c r="F136" i="16" s="1"/>
  <c r="E131" i="16"/>
  <c r="C131" i="16"/>
  <c r="E130" i="16"/>
  <c r="F130" i="16" s="1"/>
  <c r="G130" i="16" s="1"/>
  <c r="E129" i="16"/>
  <c r="F129" i="16" s="1"/>
  <c r="C120" i="16"/>
  <c r="E119" i="16"/>
  <c r="F119" i="16" s="1"/>
  <c r="C114" i="16"/>
  <c r="E113" i="16"/>
  <c r="F113" i="16" s="1"/>
  <c r="G113" i="16" s="1"/>
  <c r="E112" i="16"/>
  <c r="F112" i="16" s="1"/>
  <c r="G112" i="16" s="1"/>
  <c r="E111" i="16"/>
  <c r="F111" i="16" s="1"/>
  <c r="G111" i="16" s="1"/>
  <c r="E110" i="16"/>
  <c r="F110" i="16" s="1"/>
  <c r="F114" i="16" s="1"/>
  <c r="C106" i="16"/>
  <c r="E105" i="16"/>
  <c r="F105" i="16" s="1"/>
  <c r="G105" i="16" s="1"/>
  <c r="E104" i="16"/>
  <c r="F104" i="16" s="1"/>
  <c r="G104" i="16" s="1"/>
  <c r="E103" i="16"/>
  <c r="F103" i="16" s="1"/>
  <c r="G103" i="16" s="1"/>
  <c r="E102" i="16"/>
  <c r="F102" i="16" s="1"/>
  <c r="G102" i="16" s="1"/>
  <c r="E101" i="16"/>
  <c r="F101" i="16" s="1"/>
  <c r="G101" i="16" s="1"/>
  <c r="E100" i="16"/>
  <c r="F100" i="16" s="1"/>
  <c r="C92" i="16"/>
  <c r="E91" i="16"/>
  <c r="F91" i="16" s="1"/>
  <c r="G91" i="16" s="1"/>
  <c r="E90" i="16"/>
  <c r="F90" i="16" s="1"/>
  <c r="G90" i="16" s="1"/>
  <c r="C85" i="16"/>
  <c r="E84" i="16"/>
  <c r="F84" i="16" s="1"/>
  <c r="G84" i="16" s="1"/>
  <c r="E83" i="16"/>
  <c r="F83" i="16" s="1"/>
  <c r="G83" i="16" s="1"/>
  <c r="E82" i="16"/>
  <c r="F82" i="16" s="1"/>
  <c r="E77" i="16"/>
  <c r="F77" i="16" s="1"/>
  <c r="G77" i="16" s="1"/>
  <c r="E76" i="16"/>
  <c r="F76" i="16" s="1"/>
  <c r="G76" i="16" s="1"/>
  <c r="E75" i="16"/>
  <c r="F75" i="16" s="1"/>
  <c r="G75" i="16" s="1"/>
  <c r="E74" i="16"/>
  <c r="C74" i="16"/>
  <c r="E73" i="16"/>
  <c r="C73" i="16"/>
  <c r="E72" i="16"/>
  <c r="F72" i="16" s="1"/>
  <c r="G72" i="16" s="1"/>
  <c r="E71" i="16"/>
  <c r="F71" i="16" s="1"/>
  <c r="G71" i="16" s="1"/>
  <c r="E70" i="16"/>
  <c r="C70" i="16"/>
  <c r="F31" i="12"/>
  <c r="F153" i="12"/>
  <c r="F182" i="12"/>
  <c r="F183" i="12"/>
  <c r="F184" i="12"/>
  <c r="F185" i="12"/>
  <c r="F186" i="12"/>
  <c r="F187" i="12"/>
  <c r="F149" i="12"/>
  <c r="F150" i="12"/>
  <c r="F151" i="12"/>
  <c r="F152" i="12"/>
  <c r="F113" i="12"/>
  <c r="F114" i="12"/>
  <c r="F115" i="12"/>
  <c r="F116" i="12"/>
  <c r="F117" i="12"/>
  <c r="F118" i="12"/>
  <c r="F216" i="12"/>
  <c r="F217" i="12"/>
  <c r="F218" i="12"/>
  <c r="F219" i="12"/>
  <c r="F220" i="12"/>
  <c r="F221" i="12"/>
  <c r="F222" i="12"/>
  <c r="F85" i="12"/>
  <c r="F84" i="12"/>
  <c r="F64" i="12"/>
  <c r="F63" i="12"/>
  <c r="F62" i="12"/>
  <c r="F26" i="12"/>
  <c r="F27" i="12"/>
  <c r="F28" i="12"/>
  <c r="F29" i="12"/>
  <c r="F30" i="12"/>
  <c r="F25" i="12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62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35" i="13"/>
  <c r="F76" i="12"/>
  <c r="F77" i="12"/>
  <c r="F78" i="12"/>
  <c r="F79" i="12"/>
  <c r="F80" i="12"/>
  <c r="F81" i="12"/>
  <c r="F82" i="12"/>
  <c r="F83" i="12"/>
  <c r="F75" i="12"/>
  <c r="F58" i="12"/>
  <c r="F59" i="12"/>
  <c r="F60" i="12"/>
  <c r="F61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43" i="12"/>
  <c r="F5" i="10"/>
  <c r="F6" i="10"/>
  <c r="F7" i="10"/>
  <c r="F4" i="10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45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18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89" i="13"/>
  <c r="C79" i="21" l="1"/>
  <c r="C87" i="21" s="1"/>
  <c r="G100" i="16"/>
  <c r="G106" i="16" s="1"/>
  <c r="F106" i="16"/>
  <c r="F9" i="10"/>
  <c r="C79" i="22"/>
  <c r="C87" i="22" s="1"/>
  <c r="C78" i="20"/>
  <c r="C86" i="20" s="1"/>
  <c r="C78" i="19"/>
  <c r="C86" i="19" s="1"/>
  <c r="F54" i="16"/>
  <c r="F60" i="16"/>
  <c r="G59" i="16"/>
  <c r="G60" i="16" s="1"/>
  <c r="F45" i="16"/>
  <c r="G44" i="16"/>
  <c r="G45" i="16" s="1"/>
  <c r="F39" i="16"/>
  <c r="F154" i="16"/>
  <c r="G154" i="16" s="1"/>
  <c r="F74" i="16"/>
  <c r="G74" i="16" s="1"/>
  <c r="F139" i="16"/>
  <c r="F153" i="16"/>
  <c r="F70" i="16"/>
  <c r="G70" i="16" s="1"/>
  <c r="F73" i="16"/>
  <c r="G73" i="16" s="1"/>
  <c r="C78" i="16"/>
  <c r="G92" i="16"/>
  <c r="F131" i="16"/>
  <c r="G131" i="16" s="1"/>
  <c r="C155" i="16"/>
  <c r="F160" i="16"/>
  <c r="G159" i="16"/>
  <c r="G160" i="16" s="1"/>
  <c r="F165" i="16"/>
  <c r="G164" i="16"/>
  <c r="G165" i="16" s="1"/>
  <c r="F144" i="16"/>
  <c r="G143" i="16"/>
  <c r="G144" i="16" s="1"/>
  <c r="G129" i="16"/>
  <c r="C132" i="16"/>
  <c r="G136" i="16"/>
  <c r="G139" i="16" s="1"/>
  <c r="F120" i="16"/>
  <c r="G119" i="16"/>
  <c r="G120" i="16" s="1"/>
  <c r="G110" i="16"/>
  <c r="G114" i="16" s="1"/>
  <c r="F85" i="16"/>
  <c r="G82" i="16"/>
  <c r="G85" i="16" s="1"/>
  <c r="F92" i="16"/>
  <c r="F86" i="12"/>
  <c r="F87" i="12" s="1"/>
  <c r="F88" i="12" s="1"/>
  <c r="F89" i="12" s="1"/>
  <c r="C130" i="20" s="1"/>
  <c r="F65" i="12"/>
  <c r="F82" i="13"/>
  <c r="F83" i="13" s="1"/>
  <c r="C129" i="20" s="1"/>
  <c r="F165" i="13"/>
  <c r="F166" i="13" s="1"/>
  <c r="C130" i="23" s="1"/>
  <c r="F138" i="13"/>
  <c r="F139" i="13" s="1"/>
  <c r="C130" i="22" s="1"/>
  <c r="F111" i="13"/>
  <c r="F112" i="13" s="1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72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3" i="13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63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29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94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197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4" i="12"/>
  <c r="F73" i="10"/>
  <c r="F72" i="10"/>
  <c r="F71" i="10"/>
  <c r="F59" i="10"/>
  <c r="F60" i="10"/>
  <c r="F58" i="10"/>
  <c r="F37" i="10"/>
  <c r="F38" i="10"/>
  <c r="F36" i="10"/>
  <c r="F84" i="10"/>
  <c r="F86" i="10" s="1"/>
  <c r="F8" i="5"/>
  <c r="F7" i="5"/>
  <c r="F6" i="5"/>
  <c r="F5" i="5"/>
  <c r="F4" i="5"/>
  <c r="F3" i="5"/>
  <c r="F15" i="6"/>
  <c r="F17" i="6"/>
  <c r="F5" i="6"/>
  <c r="F120" i="12" l="1"/>
  <c r="F132" i="16"/>
  <c r="F75" i="10"/>
  <c r="F76" i="10" s="1"/>
  <c r="F77" i="10" s="1"/>
  <c r="F78" i="10" s="1"/>
  <c r="C132" i="23" s="1"/>
  <c r="F155" i="16"/>
  <c r="G168" i="16" s="1"/>
  <c r="F40" i="10"/>
  <c r="F41" i="10" s="1"/>
  <c r="F42" i="10" s="1"/>
  <c r="F43" i="10" s="1"/>
  <c r="F62" i="10"/>
  <c r="F63" i="10" s="1"/>
  <c r="F64" i="10" s="1"/>
  <c r="F65" i="10" s="1"/>
  <c r="C132" i="22" s="1"/>
  <c r="F33" i="12"/>
  <c r="C130" i="21"/>
  <c r="F34" i="12"/>
  <c r="F35" i="12" s="1"/>
  <c r="F36" i="12" s="1"/>
  <c r="G54" i="16"/>
  <c r="G55" i="16" s="1"/>
  <c r="F64" i="16" s="1"/>
  <c r="F55" i="16"/>
  <c r="F63" i="16" s="1"/>
  <c r="F40" i="16"/>
  <c r="F48" i="16" s="1"/>
  <c r="G39" i="16"/>
  <c r="G40" i="16" s="1"/>
  <c r="F49" i="16" s="1"/>
  <c r="G153" i="16"/>
  <c r="F123" i="16"/>
  <c r="G78" i="16"/>
  <c r="F95" i="16" s="1"/>
  <c r="F78" i="16"/>
  <c r="F94" i="16" s="1"/>
  <c r="G132" i="16"/>
  <c r="F148" i="16" s="1"/>
  <c r="F147" i="16"/>
  <c r="F124" i="16"/>
  <c r="F154" i="12"/>
  <c r="F155" i="12" s="1"/>
  <c r="F156" i="12" s="1"/>
  <c r="F157" i="12" s="1"/>
  <c r="C131" i="22" s="1"/>
  <c r="F188" i="12"/>
  <c r="F189" i="12" s="1"/>
  <c r="F190" i="12" s="1"/>
  <c r="F191" i="12" s="1"/>
  <c r="C131" i="23" s="1"/>
  <c r="F121" i="12"/>
  <c r="F122" i="12" s="1"/>
  <c r="F123" i="12" s="1"/>
  <c r="F223" i="12"/>
  <c r="F224" i="12" s="1"/>
  <c r="F225" i="12" s="1"/>
  <c r="F226" i="12" s="1"/>
  <c r="C131" i="24" s="1"/>
  <c r="F190" i="13"/>
  <c r="F191" i="13" s="1"/>
  <c r="C130" i="24" s="1"/>
  <c r="F54" i="13"/>
  <c r="F55" i="13" s="1"/>
  <c r="C129" i="19" s="1"/>
  <c r="F28" i="13"/>
  <c r="F29" i="13" s="1"/>
  <c r="F66" i="12"/>
  <c r="F67" i="12" s="1"/>
  <c r="F68" i="12" s="1"/>
  <c r="C130" i="19" s="1"/>
  <c r="F87" i="10"/>
  <c r="F88" i="10" s="1"/>
  <c r="F89" i="10" s="1"/>
  <c r="C132" i="24" s="1"/>
  <c r="F10" i="10"/>
  <c r="F11" i="10" s="1"/>
  <c r="F12" i="10" s="1"/>
  <c r="F9" i="5"/>
  <c r="F10" i="5" s="1"/>
  <c r="F9" i="6" l="1"/>
  <c r="F11" i="6"/>
  <c r="F13" i="6"/>
  <c r="F7" i="6"/>
  <c r="G155" i="16"/>
  <c r="G169" i="16" s="1"/>
  <c r="C129" i="26"/>
  <c r="C129" i="23"/>
  <c r="C133" i="23" s="1"/>
  <c r="C129" i="24"/>
  <c r="C133" i="24" s="1"/>
  <c r="C157" i="24" s="1"/>
  <c r="C129" i="21"/>
  <c r="C129" i="22"/>
  <c r="C133" i="22" s="1"/>
  <c r="C157" i="22" s="1"/>
  <c r="C128" i="19"/>
  <c r="C132" i="19" s="1"/>
  <c r="C156" i="19" s="1"/>
  <c r="C130" i="8"/>
  <c r="C131" i="17"/>
  <c r="C128" i="20"/>
  <c r="C132" i="20" s="1"/>
  <c r="C156" i="20" s="1"/>
  <c r="C131" i="21"/>
  <c r="C132" i="21"/>
  <c r="C134" i="17"/>
  <c r="C133" i="8"/>
  <c r="C132" i="8"/>
  <c r="C133" i="17"/>
  <c r="C131" i="8"/>
  <c r="C132" i="17"/>
  <c r="C30" i="16"/>
  <c r="E29" i="16"/>
  <c r="F29" i="16" s="1"/>
  <c r="C25" i="16"/>
  <c r="E24" i="16"/>
  <c r="E23" i="16"/>
  <c r="F23" i="16" s="1"/>
  <c r="E22" i="16"/>
  <c r="F22" i="16" s="1"/>
  <c r="C17" i="16"/>
  <c r="E16" i="16"/>
  <c r="F16" i="16" s="1"/>
  <c r="G16" i="16" s="1"/>
  <c r="E15" i="16"/>
  <c r="F15" i="16" s="1"/>
  <c r="G15" i="16" s="1"/>
  <c r="E14" i="16"/>
  <c r="F14" i="16" s="1"/>
  <c r="C9" i="16"/>
  <c r="E8" i="16"/>
  <c r="F8" i="16" s="1"/>
  <c r="G8" i="16" s="1"/>
  <c r="E7" i="16"/>
  <c r="F7" i="16" s="1"/>
  <c r="G7" i="16" s="1"/>
  <c r="E6" i="16"/>
  <c r="F6" i="16" s="1"/>
  <c r="G6" i="16" s="1"/>
  <c r="E5" i="16"/>
  <c r="F5" i="16" s="1"/>
  <c r="G5" i="16" s="1"/>
  <c r="E4" i="16"/>
  <c r="F4" i="16" s="1"/>
  <c r="G4" i="16" s="1"/>
  <c r="E3" i="16"/>
  <c r="F3" i="16" s="1"/>
  <c r="C133" i="26" l="1"/>
  <c r="C157" i="26" s="1"/>
  <c r="C133" i="21"/>
  <c r="C157" i="21" s="1"/>
  <c r="C157" i="23"/>
  <c r="G14" i="16"/>
  <c r="G17" i="16" s="1"/>
  <c r="F17" i="16"/>
  <c r="F9" i="16"/>
  <c r="G3" i="16"/>
  <c r="G9" i="16" s="1"/>
  <c r="F30" i="16"/>
  <c r="G29" i="16"/>
  <c r="G30" i="16" s="1"/>
  <c r="G22" i="16"/>
  <c r="F24" i="16"/>
  <c r="F25" i="16" s="1"/>
  <c r="G23" i="16"/>
  <c r="C148" i="17"/>
  <c r="C78" i="17"/>
  <c r="C69" i="17"/>
  <c r="C71" i="17" s="1"/>
  <c r="C42" i="17"/>
  <c r="C77" i="17" s="1"/>
  <c r="C22" i="17"/>
  <c r="C27" i="17" s="1"/>
  <c r="C77" i="8"/>
  <c r="G24" i="16" l="1"/>
  <c r="G25" i="16" s="1"/>
  <c r="G34" i="16" s="1"/>
  <c r="G33" i="16"/>
  <c r="C81" i="17"/>
  <c r="C89" i="17" s="1"/>
  <c r="C45" i="17"/>
  <c r="C46" i="17" s="1"/>
  <c r="C117" i="17" l="1"/>
  <c r="C102" i="17"/>
  <c r="C116" i="17"/>
  <c r="C101" i="17"/>
  <c r="C115" i="17"/>
  <c r="C100" i="17"/>
  <c r="C114" i="17"/>
  <c r="C55" i="17"/>
  <c r="C113" i="17"/>
  <c r="C98" i="17"/>
  <c r="D67" i="17"/>
  <c r="C54" i="17"/>
  <c r="C112" i="17"/>
  <c r="C97" i="17"/>
  <c r="C96" i="17"/>
  <c r="C155" i="17"/>
  <c r="C118" i="17" l="1"/>
  <c r="C124" i="17" s="1"/>
  <c r="C125" i="17" s="1"/>
  <c r="C158" i="17" s="1"/>
  <c r="C56" i="17"/>
  <c r="D63" i="17" s="1"/>
  <c r="C99" i="17"/>
  <c r="C103" i="17"/>
  <c r="D64" i="17" l="1"/>
  <c r="D70" i="17"/>
  <c r="C87" i="17"/>
  <c r="D68" i="17"/>
  <c r="D66" i="17"/>
  <c r="D65" i="17"/>
  <c r="D62" i="17"/>
  <c r="C104" i="17"/>
  <c r="C157" i="17" s="1"/>
  <c r="D69" i="17" l="1"/>
  <c r="D71" i="17" s="1"/>
  <c r="C88" i="17" s="1"/>
  <c r="C90" i="17" s="1"/>
  <c r="C156" i="17" s="1"/>
  <c r="C42" i="8"/>
  <c r="C22" i="8"/>
  <c r="C27" i="8" s="1"/>
  <c r="C76" i="8" l="1"/>
  <c r="C80" i="8" s="1"/>
  <c r="C45" i="8"/>
  <c r="C135" i="17"/>
  <c r="C134" i="8"/>
  <c r="C147" i="8"/>
  <c r="C68" i="8"/>
  <c r="C70" i="8" s="1"/>
  <c r="D142" i="17" l="1"/>
  <c r="D141" i="17"/>
  <c r="D148" i="17"/>
  <c r="D149" i="17" s="1"/>
  <c r="C161" i="17" s="1"/>
  <c r="D144" i="17"/>
  <c r="D147" i="17"/>
  <c r="C159" i="17"/>
  <c r="C160" i="17" s="1"/>
  <c r="D145" i="17"/>
  <c r="C88" i="8"/>
  <c r="C162" i="17" l="1"/>
  <c r="C4" i="6" l="1"/>
  <c r="E4" i="6" s="1"/>
  <c r="F4" i="6" s="1"/>
  <c r="C163" i="17"/>
  <c r="C164" i="17" s="1"/>
  <c r="C158" i="8" l="1"/>
  <c r="C99" i="8"/>
  <c r="C53" i="8"/>
  <c r="C111" i="8"/>
  <c r="C154" i="8"/>
  <c r="C100" i="8"/>
  <c r="C114" i="8"/>
  <c r="C97" i="8"/>
  <c r="C96" i="8"/>
  <c r="C112" i="8"/>
  <c r="C113" i="8"/>
  <c r="C101" i="8"/>
  <c r="D66" i="8"/>
  <c r="C115" i="8"/>
  <c r="C54" i="8"/>
  <c r="C116" i="8"/>
  <c r="C95" i="8"/>
  <c r="C98" i="8"/>
  <c r="C117" i="8" l="1"/>
  <c r="C123" i="8" s="1"/>
  <c r="C124" i="8" s="1"/>
  <c r="C157" i="8" s="1"/>
  <c r="C55" i="8"/>
  <c r="D61" i="8" s="1"/>
  <c r="C102" i="8"/>
  <c r="C103" i="8" s="1"/>
  <c r="C156" i="8" s="1"/>
  <c r="D65" i="8"/>
  <c r="D63" i="8"/>
  <c r="D62" i="8"/>
  <c r="D67" i="8"/>
  <c r="C86" i="8" l="1"/>
  <c r="D69" i="8"/>
  <c r="D64" i="8"/>
  <c r="D68" i="8"/>
  <c r="D70" i="8" s="1"/>
  <c r="C87" i="8" s="1"/>
  <c r="C89" i="8"/>
  <c r="D147" i="8" l="1"/>
  <c r="D148" i="8" s="1"/>
  <c r="C160" i="8" s="1"/>
  <c r="D143" i="8"/>
  <c r="D146" i="8"/>
  <c r="D141" i="8"/>
  <c r="C155" i="8"/>
  <c r="C159" i="8" s="1"/>
  <c r="D144" i="8"/>
  <c r="D140" i="8"/>
  <c r="C161" i="8" l="1"/>
  <c r="C3" i="6"/>
  <c r="E3" i="6" s="1"/>
  <c r="F3" i="6" s="1"/>
  <c r="C162" i="8"/>
  <c r="C163" i="8" s="1"/>
  <c r="C164" i="8" s="1"/>
  <c r="C93" i="20"/>
  <c r="C96" i="20" s="1"/>
  <c r="C51" i="20"/>
  <c r="C53" i="20" s="1"/>
  <c r="C109" i="20"/>
  <c r="C152" i="20"/>
  <c r="C97" i="20"/>
  <c r="C94" i="20"/>
  <c r="C111" i="20"/>
  <c r="C114" i="20"/>
  <c r="C52" i="20"/>
  <c r="C112" i="20"/>
  <c r="D64" i="20"/>
  <c r="C110" i="20"/>
  <c r="C95" i="20"/>
  <c r="C113" i="20"/>
  <c r="C99" i="20"/>
  <c r="C98" i="20"/>
  <c r="C101" i="20" l="1"/>
  <c r="C154" i="20" s="1"/>
  <c r="C115" i="20"/>
  <c r="C121" i="20" s="1"/>
  <c r="C122" i="20" s="1"/>
  <c r="C155" i="20" s="1"/>
  <c r="C100" i="20"/>
  <c r="D59" i="20"/>
  <c r="D60" i="20"/>
  <c r="D62" i="20"/>
  <c r="D67" i="20"/>
  <c r="D63" i="20"/>
  <c r="C84" i="20"/>
  <c r="D61" i="20"/>
  <c r="D65" i="20"/>
  <c r="D66" i="20" l="1"/>
  <c r="D68" i="20" s="1"/>
  <c r="C85" i="20" s="1"/>
  <c r="C87" i="20" s="1"/>
  <c r="D145" i="20" l="1"/>
  <c r="D146" i="20" s="1"/>
  <c r="C158" i="20" s="1"/>
  <c r="D144" i="20"/>
  <c r="C153" i="20"/>
  <c r="C157" i="20" s="1"/>
  <c r="D141" i="20"/>
  <c r="D139" i="20"/>
  <c r="D142" i="20"/>
  <c r="D138" i="20"/>
  <c r="C159" i="20" l="1"/>
  <c r="C160" i="20"/>
  <c r="C161" i="20" s="1"/>
  <c r="C8" i="6"/>
  <c r="E8" i="6" s="1"/>
  <c r="F8" i="6" s="1"/>
  <c r="C93" i="19"/>
  <c r="C96" i="19" s="1"/>
  <c r="C152" i="19"/>
  <c r="C109" i="19"/>
  <c r="C97" i="19"/>
  <c r="C51" i="19"/>
  <c r="C53" i="19" s="1"/>
  <c r="C84" i="19" s="1"/>
  <c r="C52" i="19"/>
  <c r="C113" i="19"/>
  <c r="C98" i="19"/>
  <c r="C112" i="19"/>
  <c r="C111" i="19"/>
  <c r="C95" i="19"/>
  <c r="C94" i="19"/>
  <c r="C110" i="19"/>
  <c r="C115" i="19" s="1"/>
  <c r="C121" i="19" s="1"/>
  <c r="C122" i="19" s="1"/>
  <c r="C155" i="19" s="1"/>
  <c r="C99" i="19"/>
  <c r="C114" i="19"/>
  <c r="D64" i="19"/>
  <c r="C100" i="19" l="1"/>
  <c r="C101" i="19"/>
  <c r="C154" i="19" s="1"/>
  <c r="D60" i="19"/>
  <c r="D62" i="19"/>
  <c r="D61" i="19"/>
  <c r="D65" i="19"/>
  <c r="D63" i="19"/>
  <c r="D59" i="19"/>
  <c r="D67" i="19"/>
  <c r="D66" i="19" l="1"/>
  <c r="D68" i="19" s="1"/>
  <c r="C85" i="19" s="1"/>
  <c r="C87" i="19" s="1"/>
  <c r="D142" i="19" l="1"/>
  <c r="D138" i="19"/>
  <c r="C153" i="19"/>
  <c r="C157" i="19" s="1"/>
  <c r="D145" i="19"/>
  <c r="D146" i="19" s="1"/>
  <c r="C158" i="19" s="1"/>
  <c r="D139" i="19"/>
  <c r="D144" i="19"/>
  <c r="D141" i="19"/>
  <c r="C159" i="19" l="1"/>
  <c r="C160" i="19" l="1"/>
  <c r="C161" i="19" s="1"/>
  <c r="C6" i="6"/>
  <c r="E6" i="6" s="1"/>
  <c r="F6" i="6" s="1"/>
  <c r="C98" i="21"/>
  <c r="C153" i="21"/>
  <c r="C110" i="21"/>
  <c r="C116" i="21" s="1"/>
  <c r="C122" i="21" s="1"/>
  <c r="C123" i="21" s="1"/>
  <c r="C156" i="21" s="1"/>
  <c r="C94" i="21"/>
  <c r="C99" i="21"/>
  <c r="C112" i="21"/>
  <c r="C111" i="21"/>
  <c r="C100" i="21"/>
  <c r="C95" i="21"/>
  <c r="D65" i="21"/>
  <c r="C115" i="21"/>
  <c r="C113" i="21"/>
  <c r="C96" i="21"/>
  <c r="C53" i="21"/>
  <c r="C54" i="21" s="1"/>
  <c r="C114" i="21"/>
  <c r="C52" i="21"/>
  <c r="C97" i="21" l="1"/>
  <c r="C101" i="21"/>
  <c r="D63" i="21"/>
  <c r="D64" i="21"/>
  <c r="D62" i="21"/>
  <c r="D61" i="21"/>
  <c r="D60" i="21"/>
  <c r="C85" i="21"/>
  <c r="D68" i="21"/>
  <c r="D66" i="21"/>
  <c r="C102" i="21" l="1"/>
  <c r="C155" i="21" s="1"/>
  <c r="D67" i="21"/>
  <c r="D69" i="21" s="1"/>
  <c r="C86" i="21" s="1"/>
  <c r="C88" i="21" s="1"/>
  <c r="D142" i="21" l="1"/>
  <c r="C154" i="21"/>
  <c r="C158" i="21" s="1"/>
  <c r="D139" i="21"/>
  <c r="D143" i="21"/>
  <c r="D140" i="21"/>
  <c r="D145" i="21"/>
  <c r="D146" i="21"/>
  <c r="D147" i="21" s="1"/>
  <c r="C159" i="21" s="1"/>
  <c r="C160" i="21" l="1"/>
  <c r="C10" i="6" l="1"/>
  <c r="E10" i="6" s="1"/>
  <c r="F10" i="6" s="1"/>
  <c r="C161" i="21"/>
  <c r="C162" i="21" s="1"/>
  <c r="C163" i="21" s="1"/>
  <c r="C98" i="22"/>
  <c r="C101" i="22" s="1"/>
  <c r="C110" i="22"/>
  <c r="C94" i="22"/>
  <c r="C52" i="22"/>
  <c r="C153" i="22"/>
  <c r="C115" i="22"/>
  <c r="C95" i="22"/>
  <c r="C100" i="22"/>
  <c r="C112" i="22"/>
  <c r="C113" i="22"/>
  <c r="C53" i="22"/>
  <c r="C99" i="22"/>
  <c r="C111" i="22"/>
  <c r="D65" i="22"/>
  <c r="C114" i="22"/>
  <c r="C96" i="22"/>
  <c r="C116" i="22" l="1"/>
  <c r="C122" i="22" s="1"/>
  <c r="C123" i="22" s="1"/>
  <c r="C156" i="22" s="1"/>
  <c r="C54" i="22"/>
  <c r="D66" i="22" s="1"/>
  <c r="C97" i="22"/>
  <c r="D60" i="22"/>
  <c r="D63" i="22"/>
  <c r="D64" i="22"/>
  <c r="C85" i="22"/>
  <c r="D61" i="22"/>
  <c r="D62" i="22"/>
  <c r="D68" i="22"/>
  <c r="C102" i="22"/>
  <c r="C155" i="22" s="1"/>
  <c r="D67" i="22" l="1"/>
  <c r="D69" i="22" s="1"/>
  <c r="C86" i="22" s="1"/>
  <c r="C88" i="22" s="1"/>
  <c r="D146" i="22" l="1"/>
  <c r="D147" i="22" s="1"/>
  <c r="C159" i="22" s="1"/>
  <c r="D145" i="22"/>
  <c r="D143" i="22"/>
  <c r="D139" i="22"/>
  <c r="C154" i="22"/>
  <c r="C158" i="22" s="1"/>
  <c r="C160" i="22" s="1"/>
  <c r="D140" i="22"/>
  <c r="D142" i="22"/>
  <c r="C12" i="6" l="1"/>
  <c r="E12" i="6" s="1"/>
  <c r="F12" i="6" s="1"/>
  <c r="C161" i="22"/>
  <c r="C162" i="22" s="1"/>
  <c r="C163" i="22" s="1"/>
  <c r="C94" i="23"/>
  <c r="C97" i="23" s="1"/>
  <c r="C52" i="23"/>
  <c r="C54" i="23" s="1"/>
  <c r="C110" i="23"/>
  <c r="C116" i="23" s="1"/>
  <c r="C122" i="23" s="1"/>
  <c r="C123" i="23" s="1"/>
  <c r="C156" i="23" s="1"/>
  <c r="C153" i="23"/>
  <c r="C98" i="23"/>
  <c r="C113" i="23"/>
  <c r="C114" i="23"/>
  <c r="C95" i="23"/>
  <c r="D65" i="23"/>
  <c r="C100" i="23"/>
  <c r="C99" i="23"/>
  <c r="C115" i="23"/>
  <c r="C53" i="23"/>
  <c r="C111" i="23"/>
  <c r="C112" i="23"/>
  <c r="C96" i="23"/>
  <c r="C101" i="23" l="1"/>
  <c r="D64" i="23"/>
  <c r="D61" i="23"/>
  <c r="D60" i="23"/>
  <c r="D66" i="23"/>
  <c r="D63" i="23"/>
  <c r="D68" i="23"/>
  <c r="D62" i="23"/>
  <c r="C85" i="23"/>
  <c r="C102" i="23"/>
  <c r="C155" i="23" s="1"/>
  <c r="D67" i="23" l="1"/>
  <c r="D69" i="23" s="1"/>
  <c r="C86" i="23" s="1"/>
  <c r="C88" i="23" s="1"/>
  <c r="D146" i="23" l="1"/>
  <c r="D147" i="23" s="1"/>
  <c r="C159" i="23" s="1"/>
  <c r="D142" i="23"/>
  <c r="D145" i="23"/>
  <c r="C154" i="23"/>
  <c r="C158" i="23" s="1"/>
  <c r="C160" i="23" s="1"/>
  <c r="D140" i="23"/>
  <c r="D143" i="23"/>
  <c r="D139" i="23"/>
  <c r="C14" i="6" l="1"/>
  <c r="E14" i="6" s="1"/>
  <c r="F14" i="6" s="1"/>
  <c r="C161" i="23"/>
  <c r="C162" i="23" s="1"/>
  <c r="C163" i="23" s="1"/>
  <c r="C52" i="24"/>
  <c r="C153" i="24"/>
  <c r="C98" i="24"/>
  <c r="C101" i="24" s="1"/>
  <c r="C110" i="24"/>
  <c r="C94" i="24"/>
  <c r="C97" i="24" s="1"/>
  <c r="C102" i="24" s="1"/>
  <c r="C155" i="24" s="1"/>
  <c r="C53" i="24"/>
  <c r="C111" i="24"/>
  <c r="C96" i="24"/>
  <c r="C95" i="24"/>
  <c r="C100" i="24"/>
  <c r="C99" i="24"/>
  <c r="C112" i="24"/>
  <c r="C115" i="24"/>
  <c r="D65" i="24"/>
  <c r="C113" i="24"/>
  <c r="C114" i="24"/>
  <c r="C116" i="24" l="1"/>
  <c r="C122" i="24" s="1"/>
  <c r="C123" i="24" s="1"/>
  <c r="C156" i="24" s="1"/>
  <c r="C54" i="24"/>
  <c r="D63" i="24" s="1"/>
  <c r="D66" i="24"/>
  <c r="D64" i="24"/>
  <c r="D61" i="24"/>
  <c r="C85" i="24"/>
  <c r="D68" i="24"/>
  <c r="D60" i="24"/>
  <c r="D62" i="24"/>
  <c r="D67" i="24" l="1"/>
  <c r="D69" i="24" s="1"/>
  <c r="C86" i="24" s="1"/>
  <c r="C88" i="24"/>
  <c r="D140" i="24" l="1"/>
  <c r="D145" i="24"/>
  <c r="C154" i="24"/>
  <c r="C158" i="24" s="1"/>
  <c r="D146" i="24"/>
  <c r="D147" i="24" s="1"/>
  <c r="C159" i="24" s="1"/>
  <c r="D143" i="24"/>
  <c r="D142" i="24"/>
  <c r="D139" i="24"/>
  <c r="C160" i="24" l="1"/>
  <c r="C161" i="24" l="1"/>
  <c r="C162" i="24" s="1"/>
  <c r="C163" i="24" s="1"/>
  <c r="C16" i="6"/>
  <c r="E16" i="6" s="1"/>
  <c r="F16" i="6" s="1"/>
  <c r="C153" i="26"/>
  <c r="C110" i="26"/>
  <c r="C52" i="26"/>
  <c r="C54" i="26" s="1"/>
  <c r="C98" i="26"/>
  <c r="C101" i="26" s="1"/>
  <c r="C94" i="26"/>
  <c r="C100" i="26"/>
  <c r="D65" i="26"/>
  <c r="C96" i="26"/>
  <c r="C53" i="26"/>
  <c r="C99" i="26"/>
  <c r="C114" i="26"/>
  <c r="C111" i="26"/>
  <c r="C113" i="26"/>
  <c r="C112" i="26"/>
  <c r="C95" i="26"/>
  <c r="C115" i="26"/>
  <c r="C116" i="26" l="1"/>
  <c r="C122" i="26" s="1"/>
  <c r="C123" i="26" s="1"/>
  <c r="C156" i="26" s="1"/>
  <c r="C97" i="26"/>
  <c r="C102" i="26" s="1"/>
  <c r="C155" i="26" s="1"/>
  <c r="D61" i="26"/>
  <c r="D63" i="26"/>
  <c r="D62" i="26"/>
  <c r="D68" i="26"/>
  <c r="D64" i="26"/>
  <c r="C85" i="26"/>
  <c r="D60" i="26"/>
  <c r="D67" i="26" s="1"/>
  <c r="D69" i="26" s="1"/>
  <c r="C86" i="26" s="1"/>
  <c r="D66" i="26"/>
  <c r="C88" i="26" l="1"/>
  <c r="D142" i="26" l="1"/>
  <c r="D139" i="26"/>
  <c r="D143" i="26"/>
  <c r="D146" i="26"/>
  <c r="D147" i="26" s="1"/>
  <c r="C159" i="26" s="1"/>
  <c r="D140" i="26"/>
  <c r="D145" i="26"/>
  <c r="C154" i="26"/>
  <c r="C158" i="26" s="1"/>
  <c r="C160" i="26" l="1"/>
  <c r="C161" i="26" s="1"/>
  <c r="C162" i="26" s="1"/>
  <c r="C18" i="6"/>
  <c r="E18" i="6" s="1"/>
  <c r="F18" i="6" s="1"/>
  <c r="F2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Eliezer Gentil de Souza</author>
    <author>ELIEZER GENTIL DE SOUZA</author>
  </authors>
  <commentList>
    <comment ref="A92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A106" authorId="0" shapeId="0" xr:uid="{00000000-0006-0000-0900-000002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C134" authorId="0" shapeId="0" xr:uid="{00000000-0006-0000-0900-000003000000}">
      <text>
        <r>
          <rPr>
            <b/>
            <sz val="9"/>
            <color indexed="81"/>
            <rFont val="Segoe UI"/>
            <family val="2"/>
          </rPr>
          <t>Ou (MOD1+MOD2+MOD3+MOD4)*3,05%</t>
        </r>
      </text>
    </comment>
    <comment ref="D147" authorId="1" shapeId="0" xr:uid="{00000000-0006-0000-0900-000004000000}">
      <text>
        <r>
          <rPr>
            <b/>
            <sz val="9"/>
            <color indexed="81"/>
            <rFont val="Segoe UI"/>
            <family val="2"/>
          </rPr>
          <t>MODULOS DE 01 A 05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Eliezer Gentil de Souza</author>
    <author>ELIEZER GENTIL DE SOUZA</author>
  </authors>
  <commentList>
    <comment ref="A93" authorId="0" shapeId="0" xr:uid="{00000000-0006-0000-0A00-000001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A107" authorId="0" shapeId="0" xr:uid="{00000000-0006-0000-0A00-000002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C135" authorId="0" shapeId="0" xr:uid="{00000000-0006-0000-0A00-000003000000}">
      <text>
        <r>
          <rPr>
            <b/>
            <sz val="9"/>
            <color indexed="81"/>
            <rFont val="Segoe UI"/>
            <family val="2"/>
          </rPr>
          <t>Ou (MOD1+MOD2+MOD3+MOD4)*3,05%</t>
        </r>
      </text>
    </comment>
    <comment ref="D148" authorId="1" shapeId="0" xr:uid="{00000000-0006-0000-0A00-000004000000}">
      <text>
        <r>
          <rPr>
            <b/>
            <sz val="9"/>
            <color indexed="81"/>
            <rFont val="Segoe UI"/>
            <family val="2"/>
          </rPr>
          <t>MODULOS DE 01 A 05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Eliezer Gentil de Souza</author>
    <author>ELIEZER GENTIL DE SOUZA</author>
  </authors>
  <commentList>
    <comment ref="A90" authorId="0" shapeId="0" xr:uid="{00000000-0006-0000-0B00-000001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A104" authorId="0" shapeId="0" xr:uid="{00000000-0006-0000-0B00-000002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C132" authorId="0" shapeId="0" xr:uid="{00000000-0006-0000-0B00-000003000000}">
      <text>
        <r>
          <rPr>
            <b/>
            <sz val="9"/>
            <color indexed="81"/>
            <rFont val="Segoe UI"/>
            <family val="2"/>
          </rPr>
          <t>Ou (MOD1+MOD2+MOD3+MOD4)*3,05%</t>
        </r>
      </text>
    </comment>
    <comment ref="D145" authorId="1" shapeId="0" xr:uid="{00000000-0006-0000-0B00-000004000000}">
      <text>
        <r>
          <rPr>
            <b/>
            <sz val="9"/>
            <color indexed="81"/>
            <rFont val="Segoe UI"/>
            <family val="2"/>
          </rPr>
          <t>MODULOS DE 01 A 05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Eliezer Gentil de Souza</author>
    <author>ELIEZER GENTIL DE SOUZA</author>
  </authors>
  <commentList>
    <comment ref="A90" authorId="0" shapeId="0" xr:uid="{00000000-0006-0000-0800-000001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A104" authorId="0" shapeId="0" xr:uid="{00000000-0006-0000-0800-000002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C132" authorId="0" shapeId="0" xr:uid="{00000000-0006-0000-0800-000003000000}">
      <text>
        <r>
          <rPr>
            <b/>
            <sz val="9"/>
            <color indexed="81"/>
            <rFont val="Segoe UI"/>
            <family val="2"/>
          </rPr>
          <t>Ou (MOD1+MOD2+MOD3+MOD4)*3,05%</t>
        </r>
      </text>
    </comment>
    <comment ref="D145" authorId="1" shapeId="0" xr:uid="{00000000-0006-0000-0800-000004000000}">
      <text>
        <r>
          <rPr>
            <b/>
            <sz val="9"/>
            <color indexed="81"/>
            <rFont val="Segoe UI"/>
            <family val="2"/>
          </rPr>
          <t>MODULOS DE 01 A 05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Eliezer Gentil de Souza</author>
    <author>ELIEZER GENTIL DE SOUZA</author>
  </authors>
  <commentList>
    <comment ref="A91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A105" authorId="0" shapeId="0" xr:uid="{00000000-0006-0000-0700-000002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C133" authorId="0" shapeId="0" xr:uid="{00000000-0006-0000-0700-000003000000}">
      <text>
        <r>
          <rPr>
            <b/>
            <sz val="9"/>
            <color indexed="81"/>
            <rFont val="Segoe UI"/>
            <family val="2"/>
          </rPr>
          <t>Ou (MOD1+MOD2+MOD3+MOD4)*3,05%</t>
        </r>
      </text>
    </comment>
    <comment ref="D146" authorId="1" shapeId="0" xr:uid="{00000000-0006-0000-0700-000004000000}">
      <text>
        <r>
          <rPr>
            <b/>
            <sz val="9"/>
            <color indexed="81"/>
            <rFont val="Segoe UI"/>
            <family val="2"/>
          </rPr>
          <t>MODULOS DE 01 A 05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Eliezer Gentil de Souza</author>
    <author>ELIEZER GENTIL DE SOUZA</author>
  </authors>
  <commentList>
    <comment ref="A91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A105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C133" authorId="0" shapeId="0" xr:uid="{00000000-0006-0000-0500-000003000000}">
      <text>
        <r>
          <rPr>
            <b/>
            <sz val="9"/>
            <color indexed="81"/>
            <rFont val="Segoe UI"/>
            <family val="2"/>
          </rPr>
          <t>Ou (MOD1+MOD2+MOD3+MOD4)*3,05%</t>
        </r>
      </text>
    </comment>
    <comment ref="D146" authorId="1" shapeId="0" xr:uid="{00000000-0006-0000-0500-000004000000}">
      <text>
        <r>
          <rPr>
            <b/>
            <sz val="9"/>
            <color indexed="81"/>
            <rFont val="Segoe UI"/>
            <family val="2"/>
          </rPr>
          <t>MODULOS DE 01 A 05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Eliezer Gentil de Souza</author>
    <author>ELIEZER GENTIL DE SOUZA</author>
  </authors>
  <commentList>
    <comment ref="A91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A105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C133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Ou (MOD1+MOD2+MOD3+MOD4)*3,05%</t>
        </r>
      </text>
    </comment>
    <comment ref="D146" authorId="1" shapeId="0" xr:uid="{00000000-0006-0000-0400-000004000000}">
      <text>
        <r>
          <rPr>
            <b/>
            <sz val="9"/>
            <color indexed="81"/>
            <rFont val="Segoe UI"/>
            <family val="2"/>
          </rPr>
          <t>MODULOS DE 01 A 05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Eliezer Gentil de Souza</author>
    <author>ELIEZER GENTIL DE SOUZA</author>
  </authors>
  <commentList>
    <comment ref="A91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A105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C133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Ou (MOD1+MOD2+MOD3+MOD4)*3,05%</t>
        </r>
      </text>
    </comment>
    <comment ref="D146" authorId="1" shapeId="0" xr:uid="{00000000-0006-0000-0300-000004000000}">
      <text>
        <r>
          <rPr>
            <b/>
            <sz val="9"/>
            <color indexed="81"/>
            <rFont val="Segoe UI"/>
            <family val="2"/>
          </rPr>
          <t>MODULOS DE 01 A 05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Eliezer Gentil de Souza</author>
    <author>ELIEZER GENTIL DE SOUZA</author>
  </authors>
  <commentList>
    <comment ref="A91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A105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ANEXO I CCT/SINDESP/DF</t>
        </r>
      </text>
    </comment>
    <comment ref="C133" authorId="0" shapeId="0" xr:uid="{00000000-0006-0000-0600-000003000000}">
      <text>
        <r>
          <rPr>
            <b/>
            <sz val="9"/>
            <color indexed="81"/>
            <rFont val="Segoe UI"/>
            <family val="2"/>
          </rPr>
          <t>Ou (MOD1+MOD2+MOD3+MOD4)*3,05%</t>
        </r>
      </text>
    </comment>
    <comment ref="D146" authorId="1" shapeId="0" xr:uid="{00000000-0006-0000-0600-000004000000}">
      <text>
        <r>
          <rPr>
            <b/>
            <sz val="9"/>
            <color indexed="81"/>
            <rFont val="Segoe UI"/>
            <family val="2"/>
          </rPr>
          <t>MODULOS DE 01 A 05</t>
        </r>
      </text>
    </comment>
  </commentList>
</comments>
</file>

<file path=xl/sharedStrings.xml><?xml version="1.0" encoding="utf-8"?>
<sst xmlns="http://schemas.openxmlformats.org/spreadsheetml/2006/main" count="3386" uniqueCount="438">
  <si>
    <t>Total</t>
  </si>
  <si>
    <t>Insumos Diversos</t>
  </si>
  <si>
    <t>Custos Indiretos, Tributos e Lucro</t>
  </si>
  <si>
    <t>Custos Indiretos</t>
  </si>
  <si>
    <t>Tributos</t>
  </si>
  <si>
    <t>Lucro</t>
  </si>
  <si>
    <t>Módulo 1 - Composição da Remuneração</t>
  </si>
  <si>
    <t>Composição da Remuneração</t>
  </si>
  <si>
    <t>Valor (R$)</t>
  </si>
  <si>
    <t>A</t>
  </si>
  <si>
    <t>B</t>
  </si>
  <si>
    <t>C</t>
  </si>
  <si>
    <t>D</t>
  </si>
  <si>
    <t>E</t>
  </si>
  <si>
    <t>F</t>
  </si>
  <si>
    <t>G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</si>
  <si>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</si>
  <si>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</si>
  <si>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</si>
  <si>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</si>
  <si>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</si>
  <si>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</si>
  <si>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</si>
  <si>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</si>
  <si>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H</t>
  </si>
  <si>
    <t xml:space="preserve">Total </t>
  </si>
  <si>
    <t>Submódulo 2.3 - Benefícios Mensais e Diários.</t>
  </si>
  <si>
    <t>2.3</t>
  </si>
  <si>
    <t>Benefícios Mensais e Diários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</si>
  <si>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</si>
  <si>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</si>
  <si>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</si>
  <si>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</si>
  <si>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Módulo 4 - Custo de Reposição do Profissional Ausente</t>
  </si>
  <si>
    <t>Submódulo 4.1 - Ausências Legais</t>
  </si>
  <si>
    <t>4.1</t>
  </si>
  <si>
    <t>Ausências Legais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</si>
  <si>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</si>
  <si>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</si>
  <si>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</si>
  <si>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</si>
  <si>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</si>
  <si>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Módulo 6 - Custos Indiretos, Tributos e Lucro</t>
  </si>
  <si>
    <t>C.2. Tributos Estaduais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</si>
  <si>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</si>
  <si>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</si>
  <si>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</si>
  <si>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</si>
  <si>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>C.1. Tributos Federais (PIS)</t>
  </si>
  <si>
    <t>C.2. Tributos Federais (COFINS)</t>
  </si>
  <si>
    <t>TOTAL GPS</t>
  </si>
  <si>
    <t>3.1. CUSTO DO AVISO PRÉVIO INDENIZADO</t>
  </si>
  <si>
    <t>3.2. CUSTO DO AVISO PRÉVIO TRABALHADO</t>
  </si>
  <si>
    <t>TOTAL Provisão para Rescisão</t>
  </si>
  <si>
    <t>ITEM</t>
  </si>
  <si>
    <t>TOTAL</t>
  </si>
  <si>
    <t>VALOR ANUAL</t>
  </si>
  <si>
    <t>DESCRIÇÃO / ESPECIFICAÇÕES</t>
  </si>
  <si>
    <t>VALOR MENSAL POR EMPREGADO</t>
  </si>
  <si>
    <t>Redação dada pela Instrução Normativa nº 7, de 2018</t>
  </si>
  <si>
    <t>Discriminação dos Serviços (dados referentes à contratação)</t>
  </si>
  <si>
    <t>Data da apresentação da proposta (dia/mês/ano)</t>
  </si>
  <si>
    <t>Município / UF</t>
  </si>
  <si>
    <t>Ano Acordo, Convenção ou Sentença Normativa em Dissídio Coletivo</t>
  </si>
  <si>
    <t>Nº de meses de execução contratual</t>
  </si>
  <si>
    <t>Dados complementares para composição dos custos referente à mão-de-obra</t>
  </si>
  <si>
    <t>Tipo do serviço</t>
  </si>
  <si>
    <t>Classificação Brasileira de Ocupações (CBO)</t>
  </si>
  <si>
    <t xml:space="preserve">Categoria profissional </t>
  </si>
  <si>
    <t>Data base da categoria</t>
  </si>
  <si>
    <t>Equipamentos</t>
  </si>
  <si>
    <r>
      <t>Aviso Prévio Indenizado -</t>
    </r>
    <r>
      <rPr>
        <b/>
        <sz val="10"/>
        <color rgb="FFFF0000"/>
        <rFont val="Calibri"/>
        <family val="2"/>
        <scheme val="minor"/>
      </rPr>
      <t xml:space="preserve"> API</t>
    </r>
    <r>
      <rPr>
        <sz val="10"/>
        <color theme="1"/>
        <rFont val="Calibri"/>
        <family val="2"/>
        <scheme val="minor"/>
      </rPr>
      <t xml:space="preserve"> = (33 ÷ 365 x 0,20 x 100 = 1,81%)</t>
    </r>
  </si>
  <si>
    <t>Incidência do FGTS sobre aviso prévio indenizado (8% x 1,81% = 0,14%)</t>
  </si>
  <si>
    <t>Comprovar. Item 10.1.8. E 10.1.8. TR</t>
  </si>
  <si>
    <t>LUCRO REAL, COMPROVAR. 10.1.4. e 10.1.5. do TR</t>
  </si>
  <si>
    <t>Multa do FGTS e contribuição social sobre o aviso prévio indenizado (Item 14 do Anexo XII da IN 05/2017 - 4,5% x 90% do pessoal recebe aviso indenizado) 4,05%</t>
  </si>
  <si>
    <r>
      <t xml:space="preserve">Aviso prévio trabalhado </t>
    </r>
    <r>
      <rPr>
        <b/>
        <sz val="10"/>
        <rFont val="Calibri"/>
        <family val="2"/>
        <scheme val="minor"/>
      </rPr>
      <t>APT</t>
    </r>
    <r>
      <rPr>
        <sz val="10"/>
        <rFont val="Calibri"/>
        <family val="2"/>
        <scheme val="minor"/>
      </rPr>
      <t xml:space="preserve"> (07 ÷ 30 ÷ 12 x 0,10 x 100 = 0,194%) - </t>
    </r>
    <r>
      <rPr>
        <b/>
        <sz val="10"/>
        <color rgb="FFFF0000"/>
        <rFont val="Calibri"/>
        <family val="2"/>
        <scheme val="minor"/>
      </rPr>
      <t>NO SEGUNDO ANO o saldo percentual será de 0,194% (1,94/30x3) apenas referente aos 3 dias que serão acrescentados</t>
    </r>
  </si>
  <si>
    <t>Incidência dos encargos do submódulo 2.2 sobre o aviso prévio trabalhado (36,80% x 0,194% = 0,7%)</t>
  </si>
  <si>
    <t>Multa do FGTS e contribuição social sobre o aviso prévio trabalhado (Item 14 do Anexo XII da IN 05/2017 - 4,5% x 10% do pessoal recebe aviso trabalhado) 0,45%</t>
  </si>
  <si>
    <t xml:space="preserve">Substituto na cobertura de férias (Terço constitucional de férias e 13º salário do ferista (3,03% + 8,33%) ÷ 12 = 0,95%) </t>
  </si>
  <si>
    <t xml:space="preserve">Substituto na cobertura de ausências legais e ausências por doença ((8 ÷ 30 ÷ 12) + (7 ÷ 30 ÷ 12)) x 100 = 4,17% </t>
  </si>
  <si>
    <t xml:space="preserve">Substituto na cobertura de licença-paternidade (5 ÷ 30 ÷ 12 x 0,075) x 100 = 0,10% </t>
  </si>
  <si>
    <t xml:space="preserve">Substituto na cobertura de ausência por acidente de trabalho ((15 ÷ 30 ÷ 12) x 0,15 x 100 = 0,63% </t>
  </si>
  <si>
    <t xml:space="preserve">Substituto na cobertura de afastamento maternidade (1 ÷ 12 x 4) + (1,33 ÷ 12 x 4) ÷ 12 x 0,00025 x 100 = 0,02% </t>
  </si>
  <si>
    <t>13º (décimo terceiro) Salário (item 14 do Anexo XII da IN 05/2017 MPDG) 8,33%</t>
  </si>
  <si>
    <t>Férias e Adicional de Férias (item 14 do Anexo XII da IN 05/2017 MPDG) 12,10%</t>
  </si>
  <si>
    <r>
      <rPr>
        <b/>
        <sz val="10"/>
        <rFont val="Calibri"/>
        <family val="2"/>
        <scheme val="minor"/>
      </rPr>
      <t>IN 05/2017-MPOG.</t>
    </r>
    <r>
      <rPr>
        <sz val="10"/>
        <rFont val="Calibri"/>
        <family val="2"/>
        <scheme val="minor"/>
      </rPr>
      <t xml:space="preserve"> O montante dos depósitos da Conta-Depósito Vinculada - bloqueada para movimentação será igual ao somatório dos valores das seguintes provisões: 
a) 13o (décimo terceiro) salário; 
b) férias e 1/3 (um terço) constitucional de férias; 
c) multa sobre o FGTS e contribuição social para as rescisões sem justa causa; e 
d) encargos sobre férias e 13o (décimo terceiro) salário.</t>
    </r>
  </si>
  <si>
    <t xml:space="preserve">VALOR MENSAL </t>
  </si>
  <si>
    <t>INSS (Inciso I do art. 22 da Lei 8.212/1991)</t>
  </si>
  <si>
    <t>SESI ou SESC (art. 30 da Lei 8.036/1990 e art. 1º da Lei 8.154/1990)</t>
  </si>
  <si>
    <t>SENAI ou SENAC (Decreto-Lei 2.318/1986)</t>
  </si>
  <si>
    <t>SEBRAE (art. 8º da Lei 8.029/1990)</t>
  </si>
  <si>
    <t>INCRA (Decreto-Lei 1.146/1970)</t>
  </si>
  <si>
    <r>
      <t xml:space="preserve">SAT (Art. 22, inciso II, alínea “C” da Lei nº 8.212/91) - </t>
    </r>
    <r>
      <rPr>
        <b/>
        <sz val="10"/>
        <color rgb="FFFF0000"/>
        <rFont val="Calibri"/>
        <family val="2"/>
        <scheme val="minor"/>
      </rPr>
      <t>comprovar!</t>
    </r>
  </si>
  <si>
    <t>Salário Educação (Inciso I do art. 3º do Decreto 87.043/1982)</t>
  </si>
  <si>
    <t>FGTS (Art. 15 da Lei 8.036/1990)</t>
  </si>
  <si>
    <t>Incidência do submódulo 2.2 sobre o somatório do submódulo 2.1 e sobre as alíneas A, B, C, D e E do submódulo 4.1 . = 9,68%</t>
  </si>
  <si>
    <t>CONTA=DEPÓSITO VINCULADA</t>
  </si>
  <si>
    <t>MATERIAL</t>
  </si>
  <si>
    <t>UNIDADE</t>
  </si>
  <si>
    <t>Papel higiênico, folha dupla, acabamento picotado, na cor branca, cada rolo contendo 30 m - fardo com 64 rolos - 1ª qualidade</t>
  </si>
  <si>
    <t>fardo</t>
  </si>
  <si>
    <t>pacote</t>
  </si>
  <si>
    <t>caixa</t>
  </si>
  <si>
    <t>UTENSÍLIOS</t>
  </si>
  <si>
    <t>Escovinha para vaso sanitário, plástico, nylon, com suporte</t>
  </si>
  <si>
    <t>Espanador de pó, penas de aves. Com cabo de madeira.</t>
  </si>
  <si>
    <t>Álcool em gel 70% INPM, neutro/eucalipto, frasco com 500 g - 1ª qualidade</t>
  </si>
  <si>
    <t>Aromatizante sólido para uso em vaso sanitário (pedra sanitária)</t>
  </si>
  <si>
    <t>SABÃO EM PÓ, com tenso ativo biodegradável. Embalagem com 1 quilo, contendo dados do fabricante, data de fabricação, prazo de validade e composição química. O produto deverá ter registro no Ministério da Saúde.</t>
  </si>
  <si>
    <t>TIPO DE SERVIÇO</t>
  </si>
  <si>
    <t>UNIDADE DE MEDIDA M2</t>
  </si>
  <si>
    <t>QTDE TOTAL A CONTRATAR</t>
  </si>
  <si>
    <t>LIMPEZA</t>
  </si>
  <si>
    <t xml:space="preserve">ÁREA INTERNA </t>
  </si>
  <si>
    <t>ÁREA EXTERNA</t>
  </si>
  <si>
    <t>ÁREA ESQUADRIAS</t>
  </si>
  <si>
    <t>ÁREA ENVIDRAÇADAS</t>
  </si>
  <si>
    <t>IDENTIFICAÇÃO DO SERVIÇO</t>
  </si>
  <si>
    <t>UNIDADE DE MEDIDA</t>
  </si>
  <si>
    <t>QUANTIDADE TOTAL A CONTROLAR (em função da unidade de medida)</t>
  </si>
  <si>
    <t xml:space="preserve">Limpeza e Conservação </t>
  </si>
  <si>
    <t>metro quadrado</t>
  </si>
  <si>
    <t>SERVENTE DE LIMPEZA</t>
  </si>
  <si>
    <t>CBO 5143-20</t>
  </si>
  <si>
    <t>Utensílios</t>
  </si>
  <si>
    <t>Tipo de área - INTERNA</t>
  </si>
  <si>
    <t>Frequência</t>
  </si>
  <si>
    <t>Área existente (m²)</t>
  </si>
  <si>
    <t>Produtividade diária (m²)</t>
  </si>
  <si>
    <t>Produtividade convertida p/ frequência adotada (m²)</t>
  </si>
  <si>
    <t>Área convertida (m²)</t>
  </si>
  <si>
    <t>Nº de 
serventes</t>
  </si>
  <si>
    <t>Tipo de área - EXTERNA</t>
  </si>
  <si>
    <t>Área convertida (m²)*</t>
  </si>
  <si>
    <t>Nº de serventes</t>
  </si>
  <si>
    <t>Tipo de área - ESQUADRIAS</t>
  </si>
  <si>
    <t>QUINZENAL</t>
  </si>
  <si>
    <t>ÁREA TOTAL CONVERTIDA</t>
  </si>
  <si>
    <t>NÚMERO DE SERVENTE</t>
  </si>
  <si>
    <t>MENSAL</t>
  </si>
  <si>
    <t>VALOR MENSAL</t>
  </si>
  <si>
    <t>VALOR CONTRATO 24 MESES</t>
  </si>
  <si>
    <t>VALOR 24 MESES</t>
  </si>
  <si>
    <t>ITENS DE HIGIENE PESSOAL, A SER PAGO SEPARADAMENTE</t>
  </si>
  <si>
    <r>
      <t xml:space="preserve">LIMPEZA E CONSERVAÇÃO </t>
    </r>
    <r>
      <rPr>
        <b/>
        <sz val="12"/>
        <color rgb="FFFF0000"/>
        <rFont val="Calibri"/>
        <family val="2"/>
        <scheme val="minor"/>
      </rPr>
      <t xml:space="preserve">SR/PF/MT </t>
    </r>
    <r>
      <rPr>
        <sz val="12"/>
        <rFont val="Calibri"/>
        <family val="2"/>
        <scheme val="minor"/>
      </rPr>
      <t>- CUIABÁ/MT</t>
    </r>
  </si>
  <si>
    <t xml:space="preserve">PLANILHA DE CUSTOS E FORMAÇÃO DE PREÇOS - SR/PF/MT </t>
  </si>
  <si>
    <t>LICITAÇÃO Nº: 0X/2024</t>
  </si>
  <si>
    <t>SESSÃO PÚBLICA: ____/____/2024  às    horas (Horário de Brasília/DF)</t>
  </si>
  <si>
    <t>___/____/2024</t>
  </si>
  <si>
    <t>CUIABÁ-MT</t>
  </si>
  <si>
    <t>SEAC-MT 2023</t>
  </si>
  <si>
    <r>
      <t xml:space="preserve">C.3. Tributos Municipais (ISS) - </t>
    </r>
    <r>
      <rPr>
        <b/>
        <sz val="10"/>
        <color rgb="FFFF0000"/>
        <rFont val="Calibri"/>
        <family val="2"/>
        <scheme val="minor"/>
      </rPr>
      <t>Cuiabá</t>
    </r>
  </si>
  <si>
    <r>
      <t xml:space="preserve">Salário Normativo da Categoria Profissional </t>
    </r>
    <r>
      <rPr>
        <b/>
        <sz val="10"/>
        <color rgb="FFFF0000"/>
        <rFont val="Calibri"/>
        <family val="2"/>
        <scheme val="minor"/>
      </rPr>
      <t>(CLÁUSULA 3 CCT2023 SEAC/MT)</t>
    </r>
  </si>
  <si>
    <t xml:space="preserve"> Serviços Gerais</t>
  </si>
  <si>
    <r>
      <t xml:space="preserve">Cesta Básica </t>
    </r>
    <r>
      <rPr>
        <b/>
        <sz val="10"/>
        <color rgb="FFFF0000"/>
        <rFont val="Calibri"/>
        <family val="2"/>
        <scheme val="minor"/>
      </rPr>
      <t xml:space="preserve">(CLÁUSULA 9ª CCT2023 SEAC/MT) </t>
    </r>
  </si>
  <si>
    <r>
      <t xml:space="preserve">Salário-Base  </t>
    </r>
    <r>
      <rPr>
        <b/>
        <sz val="10"/>
        <color rgb="FFFF0000"/>
        <rFont val="Calibri"/>
        <family val="2"/>
        <scheme val="minor"/>
      </rPr>
      <t>(CLÁUSULA 3ª CCT2023 SEAC/MT)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</si>
  <si>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Gratificação por  Assiduidade </t>
    </r>
    <r>
      <rPr>
        <b/>
        <sz val="10"/>
        <color rgb="FFFF0000"/>
        <rFont val="Calibri"/>
        <family val="2"/>
        <scheme val="minor"/>
      </rPr>
      <t xml:space="preserve">(CLÁUSULA 3ª CCT2023 SEAC/MT) </t>
    </r>
  </si>
  <si>
    <r>
      <t xml:space="preserve">PCMSO </t>
    </r>
    <r>
      <rPr>
        <b/>
        <sz val="10"/>
        <color rgb="FFFF0000"/>
        <rFont val="Calibri"/>
        <family val="2"/>
        <scheme val="minor"/>
      </rPr>
      <t>(Cláusula 53ª, CCT 2023 SEAC/MT)</t>
    </r>
  </si>
  <si>
    <r>
      <t xml:space="preserve">Auxílio-Refeição/Alimentação  </t>
    </r>
    <r>
      <rPr>
        <b/>
        <sz val="10"/>
        <color rgb="FFFF0000"/>
        <rFont val="Calibri"/>
        <family val="2"/>
        <scheme val="minor"/>
      </rPr>
      <t>(Cláusula 15a, CCT 2023 SEAC/MT)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3333FF"/>
        <rFont val="Calibri"/>
        <family val="2"/>
        <scheme val="minor"/>
      </rPr>
      <t>- 5%</t>
    </r>
  </si>
  <si>
    <t>Valor Total por Empregado  Mensal</t>
  </si>
  <si>
    <r>
      <t>Gratificação Líder de Equipe (05 a 10 empregados) (</t>
    </r>
    <r>
      <rPr>
        <b/>
        <sz val="10"/>
        <color rgb="FFFF0000"/>
        <rFont val="Calibri"/>
        <family val="2"/>
        <scheme val="minor"/>
      </rPr>
      <t>CLÁUSULA 3ª CCT2023 SEAC/MT</t>
    </r>
    <r>
      <rPr>
        <sz val="10"/>
        <color theme="1"/>
        <rFont val="Calibri"/>
        <family val="2"/>
        <scheme val="minor"/>
      </rPr>
      <t xml:space="preserve">) </t>
    </r>
    <r>
      <rPr>
        <b/>
        <sz val="10"/>
        <color rgb="FF3333FF"/>
        <rFont val="Calibri"/>
        <family val="2"/>
        <scheme val="minor"/>
      </rPr>
      <t xml:space="preserve">20% </t>
    </r>
  </si>
  <si>
    <t>7 POSTOS ANUAIS</t>
  </si>
  <si>
    <t>Cuiabá/MT</t>
  </si>
  <si>
    <t>a) Pisos frios</t>
  </si>
  <si>
    <t>SEMANAL</t>
  </si>
  <si>
    <t>b) Pisos frios - WCs/Vestiários, copas, refeitório e salas térreo</t>
  </si>
  <si>
    <t>4 vezes ao dia</t>
  </si>
  <si>
    <t>c) Laboratórios</t>
  </si>
  <si>
    <t>Diária</t>
  </si>
  <si>
    <t>d)Almoxarifados /galpões</t>
  </si>
  <si>
    <t>e) Áreas com espaços livres – saguão, hall e salão</t>
  </si>
  <si>
    <t>2 VEZES AO DIA</t>
  </si>
  <si>
    <t>f) Piso Vinílico</t>
  </si>
  <si>
    <t>DIÁRIA</t>
  </si>
  <si>
    <t>a) Pisos pavimentados adjacentes/contíguos às edificações</t>
  </si>
  <si>
    <t>b) Varrição de passeios e arruamentos</t>
  </si>
  <si>
    <t>c) Pátios e áreas verdes com baixa frequência</t>
  </si>
  <si>
    <t>a) Face externa com exposição à situação de risco</t>
  </si>
  <si>
    <t>b) Face externa sem exposição à situação de risco</t>
  </si>
  <si>
    <t>c) Face interna</t>
  </si>
  <si>
    <t>Tipo de área - FACHADA ENVIDRAÇADA</t>
  </si>
  <si>
    <t>Aquelas cujo acesso para limpeza exija equipamento especial</t>
  </si>
  <si>
    <t>Pá coletora de lixo, de plástico, com cabo de 80 cm</t>
  </si>
  <si>
    <t>Lixeira 100 L, Tipo balde, com alças nas laterais, na cor Preta, Material em plástico, com tampa basculante. Diâmetro: 51cm altura: 69cm</t>
  </si>
  <si>
    <t>Qtd. Mensal</t>
  </si>
  <si>
    <t>PREÇO MÉDIO UNITÁRIO</t>
  </si>
  <si>
    <t>VALOR TOTAL</t>
  </si>
  <si>
    <t>SR</t>
  </si>
  <si>
    <t>POSTO</t>
  </si>
  <si>
    <t>GISE</t>
  </si>
  <si>
    <t>BRG</t>
  </si>
  <si>
    <t>CAE</t>
  </si>
  <si>
    <t>Papel toalha Inter folhado, liso, na cor branca, com 02 (duas) dobras, medindo 23x21 cm, fardo com 05 pacotes contendo 1.000 folhas - 1ª qualidade</t>
  </si>
  <si>
    <t>Protetor descartável para assento sanitário - caixa/refil de no mínimo 40 folhas (especificação adequada ao dispenser fornecido)</t>
  </si>
  <si>
    <t>Sabonete líquido concentrado perfumado, com emoliente, galão com 05 litros</t>
  </si>
  <si>
    <t>galão</t>
  </si>
  <si>
    <t>RONDONÓPOLIS</t>
  </si>
  <si>
    <t>SINOP</t>
  </si>
  <si>
    <t>UNIFORME POR EMPREGADO</t>
  </si>
  <si>
    <t>UNIFORMES POR EMPREGADO</t>
  </si>
  <si>
    <t>Calça de segurança jeans/brim com elástico, confeccionada em algodão, cor azul marinho</t>
  </si>
  <si>
    <t>unidade</t>
  </si>
  <si>
    <t>Camiseta pólo, tecido Malha Fria / Malha Piquet, manga curta, cor azul celeste</t>
  </si>
  <si>
    <t>Calçado de segurança, em couro / vaqueta relax, solado PU.</t>
  </si>
  <si>
    <t>Bota de polimérico termoplástico impermeável com forro, emborrachado, solado antiderrapante.</t>
  </si>
  <si>
    <t>Meias, padrão sport, tecido Algodão, cor preta / azul escuro / branca</t>
  </si>
  <si>
    <t>PAR</t>
  </si>
  <si>
    <t>Crachá de identificação PVC, foto colorida, com porta crachá e cordão</t>
  </si>
  <si>
    <t>QUANTIDADE 2 ANOS</t>
  </si>
  <si>
    <t>VALOR POR EMPREGADO</t>
  </si>
  <si>
    <t>EQUIPAMENTOS - SUPERINTENDÊNCIA - CUIABÁ</t>
  </si>
  <si>
    <t>QUANTIDADE</t>
  </si>
  <si>
    <t>EQUIPAMENTOS - DEPRECIAÇÃO 10% A.A.</t>
  </si>
  <si>
    <t>Aspirador de pó e líquidos profissional, capacidade mínima 50 litros, com mangueira, prolongadores reto, bocal para canto, bocal para estofado, bocal para estofado, filtro; 110/220 V</t>
  </si>
  <si>
    <t>Carrinho de mão tipo carriola, 60 l</t>
  </si>
  <si>
    <t>Carro Coletor de lixo 120 Litros com rodas, em plástico.</t>
  </si>
  <si>
    <t>Compressor para jato d’água – lavadora de alta pressão</t>
  </si>
  <si>
    <t>Enxada larga em material aço carbono com cabo</t>
  </si>
  <si>
    <t>Extensão elétrica  30 metros, com pino macho e fêmea. Com conectores compatíveis para uso dos demais equipamentos elétricos fornecidos pela empresa.</t>
  </si>
  <si>
    <t>Mangueira plástica 3/4" x 2,0mm em poliéster reforçado com tela, com cumprimento mínimo de 50 m, com esguicho e engate rápido</t>
  </si>
  <si>
    <t>Placa Sinalizadora " Cuidado Piso Molhado" Tipo cavalete articulado Produzidas em polipropileno de alta resistência na cor amarela que representa atenção. Com o aviso impresso nos dois lados da placa.</t>
  </si>
  <si>
    <t>Tesoura para poda de plantas 12 pol. Tipo cerca viva/corta grama</t>
  </si>
  <si>
    <t>Vassoura para grama (rastelo)</t>
  </si>
  <si>
    <t>EQUIPAMENTOS - DEPRECIAÇÃO 20% A.A.</t>
  </si>
  <si>
    <t>EQUIPAMENTOS - DPF/BRG/MT - BARRA DO GARÇAS</t>
  </si>
  <si>
    <t xml:space="preserve"> PREÇO MÉDIO UNITÁRIO </t>
  </si>
  <si>
    <t xml:space="preserve"> VALOR TOTAL </t>
  </si>
  <si>
    <t>Enxada de 03 libras</t>
  </si>
  <si>
    <t>Extensão elétrica 30 metros, com pino macho e fêmea. Com conectores compatíveis para uso dos demais equipamentos elétricos fornecidos pela empresa.</t>
  </si>
  <si>
    <t>Mangueira plástica em poliéster reforçado com tela, com cumprimento mínimo de 100 m, com esguicho engate rápido, e suporte ³/4, COM CARRINHO PARA ENROLAR MANGUEIRA</t>
  </si>
  <si>
    <t>EQUIPAMENTOS - DPF/CAE/MT - CÁCERES</t>
  </si>
  <si>
    <t>EQUIPAMENTOS - DPF/ROO/MT - RONDONÓPOLIS</t>
  </si>
  <si>
    <t>EQUIPAMENTOS - DPF/SIC/MT - SINOP</t>
  </si>
  <si>
    <t>UTENSÍLIOS  - SUPERINTENDÊNCIA - CUIABÁ</t>
  </si>
  <si>
    <t>Balde em material plástico, polietileno de alta densidade, alta resistência a impacto, paredes e fundo reforçados, reforço no encaixe da alça,  capacidade 12 litros. Cor preta</t>
  </si>
  <si>
    <t>Borrifador plástico, spray, contendo bico borrifador, recarregável</t>
  </si>
  <si>
    <t>Coletor copo plástico, material pvc- cloreto de polivinila, altura 70 cm, cor branca, características adicionais 1 boca água e 1 boca café, suporte chão corpreta, capacidade de copos mínima 300 un</t>
  </si>
  <si>
    <t>Desentupidor de Pia, feito em polipropileno e borracha. Aprox. 18cm x11,5cm, x11,5cm.</t>
  </si>
  <si>
    <t>Desentupidor de Vaso Sanitário, borracha entrusada bola, com cabo de madeira plastificado longo</t>
  </si>
  <si>
    <t>Dispensador para papel toalha interfolhas em plástico ABS (copa/refeitório/banheiro)</t>
  </si>
  <si>
    <t>Dispensador para sabonete líquido em plástico ABS, capacidade mínima do reservatório 800 ml</t>
  </si>
  <si>
    <t>Escova para lavar tecido modelo grande com cerdas de nylon rígidas, formato oval</t>
  </si>
  <si>
    <t>unidades</t>
  </si>
  <si>
    <t>Lixeira Basculante 50L/60L, na cor marrom, adesivada para reciclagem de lixo orgânico, Formato quadrado, material plástico. Com tampa.</t>
  </si>
  <si>
    <t>Lixeira Basculante 50L/60L, na cor BRANCA/CINZA. Formato quadrado, material plástico. Com tampa.</t>
  </si>
  <si>
    <t>Lixeira para BANHEIRO, material em plástico/PVC, cor branca, sem rede, sem tela, sem tampa, e sem furo, capacidade 12/15 L. Material plástico.</t>
  </si>
  <si>
    <t>Rodo de plástico com perfil duplo, 40 cm de largura, com cabo em madeira e para limpeza de chão</t>
  </si>
  <si>
    <t>Rodo de plástico com perfil duplo, 60 cm de largura, com cabo em madeira - para limpeza de chão</t>
  </si>
  <si>
    <t>Suporte dispenser para copo descartável de água 180/200 ml - com capacidade mínima de 100 copos, suporte modelo poupa Copo.</t>
  </si>
  <si>
    <t>Vassoura de pêlo com 40 cm de largura, com cabo</t>
  </si>
  <si>
    <t>Vassoura de nylon de plástico com 40 cm de largura, com cabo</t>
  </si>
  <si>
    <t>Vassoura para vasculhar teto, SISAL, com cabo longo de 2 metros</t>
  </si>
  <si>
    <t>Qtd. 24 MESES</t>
  </si>
  <si>
    <t>Qtd. Por Unidade PF/MT</t>
  </si>
  <si>
    <t>COLETOR COPO PLÁSTICO, MATERIAL PVC- CLORETO DE POLIVINILA, ALTURA 70 CM, COR BRANCA, CARACTERÍSTICAS ADICIONAIS 1 BOCA ÁGUA E 1 BOCA CAFÉ, SUPORTE CHÃO CORPRETA, CAPACIDADE DE COPOS MÍNIMA 300 UM</t>
  </si>
  <si>
    <t xml:space="preserve">Dispensador para papel toalha interfolhas em plástico ABS </t>
  </si>
  <si>
    <t>Lixeira para escritório/ cesto para papéis, material em plástico/PVC, cor preta, sem rede, sem tela, sem tampa, e sem furo, capacidade 15 L. Material plástico.</t>
  </si>
  <si>
    <t>UTENSÍLIOS  - DPF/BRG/MT - BARRA DO GARÇAS</t>
  </si>
  <si>
    <t>Dispensador para papel toalha interfolhas em plástico ABS</t>
  </si>
  <si>
    <t>Lixeira Basculante 60L/50 L, na cor marrom, adesivada para reciclagem de lixo orgânico, Formato quadrado, material plástico. Com tampa.</t>
  </si>
  <si>
    <t>TOTAL 24 MESES</t>
  </si>
  <si>
    <t>UTENSÍLIOS  - DPF/CAE/MT - CÁCERES</t>
  </si>
  <si>
    <t>UTENSÍLIOS  - DPF/ROO/MT - RONDONÓPOLIS</t>
  </si>
  <si>
    <t>UTENSÍLIOS  - DPF/SIC/MT - SINOP</t>
  </si>
  <si>
    <t>MATERIAIS  - SUPERINTENDÊNCIA - CUIABÁ</t>
  </si>
  <si>
    <t>Água sanitária com teor de cloro ativo entre 2,0 a 2,5% p/p - 1ª qualidade. Garrafão 5L</t>
  </si>
  <si>
    <t>frasco</t>
  </si>
  <si>
    <t>Aromatizante de ambiente líquido, aerossol, frasco com 400 ml - 1ª qualidade</t>
  </si>
  <si>
    <t>Aromatizante de ambiente líquido lavanda para uso em sanitários e ambiente em geral, Galão 5L - 1ª qualidade</t>
  </si>
  <si>
    <t>Copo descartável para água, material polipropileno - PP, capacidade 180 ml - caixa com 2.500 unidades (em conformidade com a Norma da ABNT/NBR nº 14.865)</t>
  </si>
  <si>
    <t>DESINFETANTE para uso geral bruto, com ação germicida, bactericida e fungicida, superconcentrado. Galão 5 L</t>
  </si>
  <si>
    <t>Detergente biodegradável para lavar louça, frasco 500 ml</t>
  </si>
  <si>
    <t>Detergente neutro para limpeza de piso vinílico, com tensoativo biodegradável superconcentrado - Galão 5 litros</t>
  </si>
  <si>
    <t>ESPONJA sintética, dupla face, um lado em espuma poliuretano e outro em fibra sintética abrasiva, dimensões 100 x 70 x 20 mm, com variação de +/- 10 mm. Embalagem com dados de identificação do produto e marca do fabricante.</t>
  </si>
  <si>
    <t>FLANELA, 100% algodão, branca para uso geral de 60 x 40 cm.</t>
  </si>
  <si>
    <t>Limpador instantâneo multiuso, 500ml</t>
  </si>
  <si>
    <t>Limpa vidro, 500 ml</t>
  </si>
  <si>
    <t>LUSTRA MÓVEIS, Loção perfumada,  frasco com 500 ml</t>
  </si>
  <si>
    <t>Luvas de látex natural, tamanho P M,G, forrada, formato anatômico, palma antiderrapante, espessura 0,55 mm, cano longo</t>
  </si>
  <si>
    <t>par</t>
  </si>
  <si>
    <t>Palha de aço, material aço carbono, abrasividade alta, aplicação limpeza em geral. PACOTE COM 8 UNIDADES</t>
  </si>
  <si>
    <t>Pano de chão, de saco alvejado especial 40x70, para limpeza de piso - cor branca.</t>
  </si>
  <si>
    <t>Protetor descartável para vaso sanitário - caixa/refil de no mínimo 40 folhas (especificação adequada ao dispenser fornecido)</t>
  </si>
  <si>
    <t>Sabão em barra neutro de 200 g, pacote com 05 unidades</t>
  </si>
  <si>
    <t>Saco plástico para lixo, na cor preta, com capacidade para 20 LITROS ,07 micras, deverá estar de acordo com as normas da ABNT NBR 9190,9191, 9195, 14474 e 13056. As embalagens deverão ter todas as especificações. Pacote com 100 unidades</t>
  </si>
  <si>
    <t>Saco plástico para lixo, na cor preta, com capacidade para 60 LITROS ,07 micras, deverá estar de acordo com as normas da ABNT NBR 9190,9191, 9195, 14474 e 13056. As embalagens deverão ter todas as especificações. Pacote com 100 unidades</t>
  </si>
  <si>
    <t>Saco plástico para lixo, na cor preta, com capacidade para 100 LITROS, 07 micras, deverá estar de acordo com as normas da ABNT NBR 9190,9191, 9195, 14474 e 13056. As embalagens deverão ter todas as especificações. Pacote com 100 unidades</t>
  </si>
  <si>
    <t>Tela aromatizante/ ralo anti-cheiro/grelha aromatizante para mictório</t>
  </si>
  <si>
    <t>Saco plástico para lixo, na cor preta, com capacidade para 100 LITROS, 07 micras, deverá estar de acordo com as normas da ABNT NBR 9190,9191, 9195, 14474 e 13056. As embalagens deverão ter todas as especificações.</t>
  </si>
  <si>
    <t>MATERIAIS  - DPF/BRG/MT - BARRA DO GARÇAS</t>
  </si>
  <si>
    <t>MATERIAIS  - DPF/CAE/MT - CÁCERES</t>
  </si>
  <si>
    <t>MATERIAIS  - DPF/ROO/MT - RONDONÓPOLIS</t>
  </si>
  <si>
    <t>Limpa vidros, 500ml</t>
  </si>
  <si>
    <t>MATERIAIS  - DPF/SIC/MT - SINOP</t>
  </si>
  <si>
    <t>Água sanitária com teor de cloro ativo entre 2,0 a 2,5% p/p - 1ª qualidade. Garrafa 5L</t>
  </si>
  <si>
    <t xml:space="preserve">QUANTIDADE </t>
  </si>
  <si>
    <r>
      <t xml:space="preserve">LIMPEZA E CONSERVAÇÃO </t>
    </r>
    <r>
      <rPr>
        <b/>
        <sz val="12"/>
        <color rgb="FFFF0000"/>
        <rFont val="Calibri"/>
        <family val="2"/>
        <scheme val="minor"/>
      </rPr>
      <t>CÁCERES</t>
    </r>
    <r>
      <rPr>
        <sz val="12"/>
        <color rgb="FFFF0000"/>
        <rFont val="Calibri"/>
        <family val="2"/>
        <scheme val="minor"/>
      </rPr>
      <t>/MT</t>
    </r>
  </si>
  <si>
    <r>
      <t xml:space="preserve">LIMPEZA E CONSERVAÇÃO </t>
    </r>
    <r>
      <rPr>
        <b/>
        <sz val="12"/>
        <color rgb="FFFF0000"/>
        <rFont val="Calibri"/>
        <family val="2"/>
        <scheme val="minor"/>
      </rPr>
      <t>RONDONÓPILIS</t>
    </r>
    <r>
      <rPr>
        <sz val="12"/>
        <color rgb="FFFF0000"/>
        <rFont val="Calibri"/>
        <family val="2"/>
        <scheme val="minor"/>
      </rPr>
      <t>/MT</t>
    </r>
  </si>
  <si>
    <r>
      <t xml:space="preserve">LIMPEZA E CONSERVAÇÃO </t>
    </r>
    <r>
      <rPr>
        <b/>
        <sz val="12"/>
        <color rgb="FFFF0000"/>
        <rFont val="Calibri"/>
        <family val="2"/>
        <scheme val="minor"/>
      </rPr>
      <t>SINOP</t>
    </r>
    <r>
      <rPr>
        <sz val="12"/>
        <color rgb="FFFF0000"/>
        <rFont val="Calibri"/>
        <family val="2"/>
        <scheme val="minor"/>
      </rPr>
      <t>/MT</t>
    </r>
  </si>
  <si>
    <r>
      <t xml:space="preserve">LIMPEZA E CONSERVAÇÃO </t>
    </r>
    <r>
      <rPr>
        <b/>
        <sz val="12"/>
        <color rgb="FFFF0000"/>
        <rFont val="Calibri"/>
        <family val="2"/>
        <scheme val="minor"/>
      </rPr>
      <t>BARRA DO GARÇAS</t>
    </r>
    <r>
      <rPr>
        <sz val="12"/>
        <color rgb="FFFF0000"/>
        <rFont val="Calibri"/>
        <family val="2"/>
        <scheme val="minor"/>
      </rPr>
      <t>/MT</t>
    </r>
  </si>
  <si>
    <t>DEPRECIAÇÃO 20% AO ANUAL</t>
  </si>
  <si>
    <r>
      <t>Escada de abrir (em V),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em alumínio ENTRE 6 E 8 degraus, pés antiderrapantes, sapatas de borracha.</t>
    </r>
  </si>
  <si>
    <r>
      <t>Escada de abrir (em V),</t>
    </r>
    <r>
      <rPr>
        <b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em alumínio ENTRE 6 E 8 degraus, pés antiderrapantes, sapatas de borracha.</t>
    </r>
  </si>
  <si>
    <t>DEPRECIAÇÃO MENSAL</t>
  </si>
  <si>
    <t>DEPRECIAÇÃO MENSAL INDIVIDUAL POR 8 EMPREGADOS</t>
  </si>
  <si>
    <t>DEPRECIAÇÃO MENSAL INDIVIDUAL POR 2 EMPREGADOS</t>
  </si>
  <si>
    <t>DEPRECIAÇÃO MENSAL INDIVIDUAL POR 3 EMPREGADOS</t>
  </si>
  <si>
    <t>UTENSÍLIOS  - BASE GISE - CUIABÁ</t>
  </si>
  <si>
    <t>UTENSÍLIOS  - POSTO DE SERVIÇOS GOIABEIRAS - CUIABÁ</t>
  </si>
  <si>
    <t>DEPRECIAÇÃO 50% AO ANUAL</t>
  </si>
  <si>
    <t>DEPRECIAÇÃO MENSAL INDIVIDUAL POR 1 EMPREGADO</t>
  </si>
  <si>
    <t>MATERIAIS  - BASE GISE - CUIABÁ</t>
  </si>
  <si>
    <t>MATERIAIS  - POSTO GOIABEIRAS - CUIABÁ</t>
  </si>
  <si>
    <t>DIVISÃO MENSAL POR 8 EMPREGADOS</t>
  </si>
  <si>
    <t>DIVISÃO MENSAL POR 1 EMPREGADO</t>
  </si>
  <si>
    <t>DIVISÃO MENSAL POR 2 EMPREGADOS</t>
  </si>
  <si>
    <t>DIVISÃO MENSAL POR 3 EMPREGADOS</t>
  </si>
  <si>
    <r>
      <t xml:space="preserve">Esponja de lã de aço. 60 gr. Formato Anatomico  </t>
    </r>
    <r>
      <rPr>
        <u/>
        <sz val="10"/>
        <color indexed="8"/>
        <rFont val="Calibri"/>
        <family val="2"/>
      </rPr>
      <t xml:space="preserve">abrasividade minima/ </t>
    </r>
    <r>
      <rPr>
        <sz val="10"/>
        <color indexed="8"/>
        <rFont val="Calibri"/>
        <family val="2"/>
      </rPr>
      <t>aplicação utensílios domésticos, esponja limpeza/, material lã aço/, formato anatômico/, abrasividade mínima/, aplicação utensílios de alumínio.</t>
    </r>
  </si>
  <si>
    <r>
      <t xml:space="preserve">Esponja de lã de aço, Formato Anatomico  </t>
    </r>
    <r>
      <rPr>
        <u/>
        <sz val="10"/>
        <color rgb="FF000000"/>
        <rFont val="Calibri"/>
        <family val="2"/>
        <scheme val="minor"/>
      </rPr>
      <t xml:space="preserve">abrasividade minima/ </t>
    </r>
    <r>
      <rPr>
        <sz val="10"/>
        <color rgb="FF000000"/>
        <rFont val="Calibri"/>
        <family val="2"/>
        <scheme val="minor"/>
      </rPr>
      <t>aplicação utensílios domésticos, esponja limpeza/, material lã aço/, formato anatômico/, abrasividade mínima/, aplicação utensílios de alumínio.</t>
    </r>
  </si>
  <si>
    <r>
      <t xml:space="preserve">Esponja de lã de aço. Formato Anatomico  </t>
    </r>
    <r>
      <rPr>
        <u/>
        <sz val="10"/>
        <color rgb="FF000000"/>
        <rFont val="Calibri"/>
        <family val="2"/>
        <scheme val="minor"/>
      </rPr>
      <t>abrasividade minima/ média</t>
    </r>
    <r>
      <rPr>
        <sz val="10"/>
        <color rgb="FF000000"/>
        <rFont val="Calibri"/>
        <family val="2"/>
        <scheme val="minor"/>
      </rPr>
      <t>, aplicação em utensilios domésticos</t>
    </r>
  </si>
  <si>
    <r>
      <t xml:space="preserve">Esponja de lã de aço, pacote com 8 unidades. 60 gr. Formato Anatomico  </t>
    </r>
    <r>
      <rPr>
        <u/>
        <sz val="10"/>
        <color rgb="FF000000"/>
        <rFont val="Calibri"/>
        <family val="2"/>
        <scheme val="minor"/>
      </rPr>
      <t>abrasividade minima/ média</t>
    </r>
    <r>
      <rPr>
        <sz val="10"/>
        <color rgb="FF000000"/>
        <rFont val="Calibri"/>
        <family val="2"/>
        <scheme val="minor"/>
      </rPr>
      <t>, aplicação em utensilios domésticos</t>
    </r>
  </si>
  <si>
    <t>QTD. MENSAL</t>
  </si>
  <si>
    <t>QUANT. MENSAL</t>
  </si>
  <si>
    <t>QUANT.</t>
  </si>
  <si>
    <t>Cáceres/MT</t>
  </si>
  <si>
    <t>Tipo de área* INTERNA</t>
  </si>
  <si>
    <t xml:space="preserve">Área convertida (m²) </t>
  </si>
  <si>
    <t xml:space="preserve">Área interna – 
Área Geral da Delegacia
</t>
  </si>
  <si>
    <t xml:space="preserve">Área interna
 - corredores
</t>
  </si>
  <si>
    <t>DIAS ALTERNADOS</t>
  </si>
  <si>
    <t xml:space="preserve">Área interna
 – auditório
</t>
  </si>
  <si>
    <t>Banheiros Coletivos (N.A./WC FEM-2/WC MASC-2/WC CHEFE/WC Plantão/Lavatório PNE)</t>
  </si>
  <si>
    <t>Banheiros Coletivos (WC FEM-1/WC MASC-1/WC PNE)</t>
  </si>
  <si>
    <t xml:space="preserve">Área interna 
– depósito 1
</t>
  </si>
  <si>
    <t xml:space="preserve">Área interna
 – depósito 2
</t>
  </si>
  <si>
    <t xml:space="preserve">Área interna 
– depósito 3
</t>
  </si>
  <si>
    <t>SUBTOTAL - 03</t>
  </si>
  <si>
    <t>Tipo de área -EXTERNA</t>
  </si>
  <si>
    <t>Área externa - Calçadas</t>
  </si>
  <si>
    <t xml:space="preserve">Área externa 
– área geral da delegacia (Estacionamento/ETE/Jardim)
</t>
  </si>
  <si>
    <t>Área Externa - Depósito de Veículos</t>
  </si>
  <si>
    <t>Esquadrias SEM risco – face interna e externa</t>
  </si>
  <si>
    <t>Esquadrias SEM risco - breeze das janelas</t>
  </si>
  <si>
    <t>Rondonópolis/MT</t>
  </si>
  <si>
    <t>Área interna - Prédio principal, incluindo copa e gabinete chefia</t>
  </si>
  <si>
    <t>Área interna - Alojamento, GTRAN, Guarita</t>
  </si>
  <si>
    <t>Área interna - UTEC</t>
  </si>
  <si>
    <t>Área interna - Garagem coberta c/ contrapiso</t>
  </si>
  <si>
    <t>Área interna - Garagem coberta c/ piso de terra</t>
  </si>
  <si>
    <t>Área interna - Sala Núcleo de Análise e Depósito de Materiais</t>
  </si>
  <si>
    <t>Área externa 01</t>
  </si>
  <si>
    <t>Área externa 02</t>
  </si>
  <si>
    <t>Área externa 03</t>
  </si>
  <si>
    <t>Área externa 4 - Fundos</t>
  </si>
  <si>
    <t>SUBTOTAL – 01</t>
  </si>
  <si>
    <t>*estas áreas estão identificadas no Anexo II deste Termo de Referência;</t>
  </si>
  <si>
    <t>Tipo de área</t>
  </si>
  <si>
    <t>SUBTOTAL – 02</t>
  </si>
  <si>
    <t>SINOP/MT</t>
  </si>
  <si>
    <t>Tipo de área* - INTERNA</t>
  </si>
  <si>
    <t>Área Interna - 01</t>
  </si>
  <si>
    <t>Área Interna - 02</t>
  </si>
  <si>
    <t>Banheiro Atendimento ao Público</t>
  </si>
  <si>
    <t>Área externa - Calçada frente e lateral</t>
  </si>
  <si>
    <t>Área externa - Espaço entre o muro e o prédio da delegacia</t>
  </si>
  <si>
    <t>Área externa - área de folhagem/jardim</t>
  </si>
  <si>
    <t>Barra do Garças/MT</t>
  </si>
  <si>
    <t>Área interna</t>
  </si>
  <si>
    <t>Banheiros Coletivos (Térreo e  Piso Superior)</t>
  </si>
  <si>
    <t>Área externa</t>
  </si>
  <si>
    <t>DIARIAMENTE</t>
  </si>
  <si>
    <t>Esquadrias SEM risco – face interna e externa*</t>
  </si>
  <si>
    <t>ATC – ÁREA TOTAL CONVERTIDA</t>
  </si>
  <si>
    <t>Área interna fora do edifício sede (Posto de Serviços Goiabeiras Shopping)</t>
  </si>
  <si>
    <t>ÁREAS ENVIDRAÇADAS SEM RISCOS</t>
  </si>
  <si>
    <t>POSTO GOIABEIRAS - Cuiabá/MT</t>
  </si>
  <si>
    <t>Área interna GISE-CUIABÁ</t>
  </si>
  <si>
    <t>Área externa – GISE</t>
  </si>
  <si>
    <t>BASE GISE - Cuiabá/MT</t>
  </si>
  <si>
    <t>BASE GISE - CUIABÁ-MT</t>
  </si>
  <si>
    <t>POSTO GOIABEIRAS - CUIABÁ-MT</t>
  </si>
  <si>
    <t>CÁCERES-MT</t>
  </si>
  <si>
    <r>
      <t xml:space="preserve">C.3. Tributos Municipais (ISS) - </t>
    </r>
    <r>
      <rPr>
        <b/>
        <sz val="10"/>
        <color rgb="FFFF0000"/>
        <rFont val="Calibri"/>
        <family val="2"/>
        <scheme val="minor"/>
      </rPr>
      <t>Cáceres</t>
    </r>
  </si>
  <si>
    <r>
      <t xml:space="preserve">Transporte </t>
    </r>
    <r>
      <rPr>
        <b/>
        <sz val="10"/>
        <color rgb="FFFF0000"/>
        <rFont val="Calibri"/>
        <family val="2"/>
        <scheme val="minor"/>
      </rPr>
      <t xml:space="preserve"> (Cláusula 16a, CCT 2023 SEAC/MT)</t>
    </r>
    <r>
      <rPr>
        <sz val="10"/>
        <color theme="1"/>
        <rFont val="Calibri"/>
        <family val="2"/>
        <scheme val="minor"/>
      </rPr>
      <t xml:space="preserve"> R$ 4,95</t>
    </r>
  </si>
  <si>
    <r>
      <t xml:space="preserve">Transporte </t>
    </r>
    <r>
      <rPr>
        <b/>
        <sz val="10"/>
        <color rgb="FFFF0000"/>
        <rFont val="Calibri"/>
        <family val="2"/>
        <scheme val="minor"/>
      </rPr>
      <t xml:space="preserve"> (Cláusula 16a, CCT 2023 SEAC/MT)</t>
    </r>
    <r>
      <rPr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rgb="FF3333FF"/>
        <rFont val="Calibri"/>
        <family val="2"/>
        <scheme val="minor"/>
      </rPr>
      <t>em Cáceres não há transporte coletivo</t>
    </r>
  </si>
  <si>
    <t>3 POSTOS ANUAIS</t>
  </si>
  <si>
    <t>RONDONÓPOLIS-MT</t>
  </si>
  <si>
    <r>
      <t xml:space="preserve">C.3. Tributos Municipais (ISS) - </t>
    </r>
    <r>
      <rPr>
        <b/>
        <sz val="10"/>
        <color rgb="FFFF0000"/>
        <rFont val="Calibri"/>
        <family val="2"/>
        <scheme val="minor"/>
      </rPr>
      <t>Rondonópolis</t>
    </r>
  </si>
  <si>
    <r>
      <t xml:space="preserve">Transporte </t>
    </r>
    <r>
      <rPr>
        <b/>
        <sz val="10"/>
        <color rgb="FFFF0000"/>
        <rFont val="Calibri"/>
        <family val="2"/>
        <scheme val="minor"/>
      </rPr>
      <t xml:space="preserve"> (Cláusula 16a, CCT 2023 SEAC/MT)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3333FF"/>
        <rFont val="Calibri"/>
        <family val="2"/>
        <scheme val="minor"/>
      </rPr>
      <t>R$ 4,10</t>
    </r>
  </si>
  <si>
    <r>
      <t xml:space="preserve">Transporte </t>
    </r>
    <r>
      <rPr>
        <b/>
        <sz val="10"/>
        <color rgb="FFFF0000"/>
        <rFont val="Calibri"/>
        <family val="2"/>
        <scheme val="minor"/>
      </rPr>
      <t xml:space="preserve"> (Cláusula 16a, CCT 2023 SEAC/MT)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3333FF"/>
        <rFont val="Calibri"/>
        <family val="2"/>
        <scheme val="minor"/>
      </rPr>
      <t>suspenso, por enquanto</t>
    </r>
  </si>
  <si>
    <t>SINOP-MT</t>
  </si>
  <si>
    <r>
      <t xml:space="preserve">C.3. Tributos Municipais (ISS) - </t>
    </r>
    <r>
      <rPr>
        <b/>
        <sz val="10"/>
        <color rgb="FFFF0000"/>
        <rFont val="Calibri"/>
        <family val="2"/>
        <scheme val="minor"/>
      </rPr>
      <t>Sinop</t>
    </r>
  </si>
  <si>
    <t>2 POSTOS ANUAIS</t>
  </si>
  <si>
    <t>BARRA DO GARÇAS-MT</t>
  </si>
  <si>
    <r>
      <t xml:space="preserve">Transporte </t>
    </r>
    <r>
      <rPr>
        <b/>
        <sz val="10"/>
        <color rgb="FFFF0000"/>
        <rFont val="Calibri"/>
        <family val="2"/>
        <scheme val="minor"/>
      </rPr>
      <t xml:space="preserve"> (Cláusula 16a, CCT 2023 SEAC/MT)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3333FF"/>
        <rFont val="Calibri"/>
        <family val="2"/>
        <scheme val="minor"/>
      </rPr>
      <t>R$ 6,00</t>
    </r>
  </si>
  <si>
    <r>
      <t xml:space="preserve">C.3. Tributos Municipais (ISS) - </t>
    </r>
    <r>
      <rPr>
        <b/>
        <sz val="10"/>
        <color rgb="FFFF0000"/>
        <rFont val="Calibri"/>
        <family val="2"/>
        <scheme val="minor"/>
      </rPr>
      <t>Barra do Garças</t>
    </r>
  </si>
  <si>
    <r>
      <t xml:space="preserve">LIMPEZA E CONSERVAÇÃO </t>
    </r>
    <r>
      <rPr>
        <b/>
        <sz val="12"/>
        <color rgb="FFFF0000"/>
        <rFont val="Calibri"/>
        <family val="2"/>
        <scheme val="minor"/>
      </rPr>
      <t>(GISE)</t>
    </r>
    <r>
      <rPr>
        <sz val="12"/>
        <rFont val="Calibri"/>
        <family val="2"/>
        <scheme val="minor"/>
      </rPr>
      <t xml:space="preserve"> CUIABÁ/MT</t>
    </r>
  </si>
  <si>
    <r>
      <t xml:space="preserve">LIMPEZA E CONSERVAÇÃO </t>
    </r>
    <r>
      <rPr>
        <b/>
        <sz val="12"/>
        <color rgb="FFFF0000"/>
        <rFont val="Calibri"/>
        <family val="2"/>
        <scheme val="minor"/>
      </rPr>
      <t>(GOIABEIRAS)</t>
    </r>
    <r>
      <rPr>
        <sz val="12"/>
        <rFont val="Calibri"/>
        <family val="2"/>
        <scheme val="minor"/>
      </rPr>
      <t xml:space="preserve"> CUIABÁ/MT</t>
    </r>
  </si>
  <si>
    <r>
      <t xml:space="preserve">LÍDER DE EQUIPE SR/PF/MT - </t>
    </r>
    <r>
      <rPr>
        <b/>
        <sz val="12"/>
        <color rgb="FFFF0000"/>
        <rFont val="Calibri"/>
        <family val="2"/>
        <scheme val="minor"/>
      </rPr>
      <t>CUIABÁ/MT</t>
    </r>
  </si>
  <si>
    <r>
      <t xml:space="preserve">Transporte </t>
    </r>
    <r>
      <rPr>
        <b/>
        <sz val="10"/>
        <color rgb="FFFF0000"/>
        <rFont val="Calibri"/>
        <family val="2"/>
        <scheme val="minor"/>
      </rPr>
      <t xml:space="preserve"> (Cláusula 16a, CCT 2023 SEAC/MT)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3333FF"/>
        <rFont val="Calibri"/>
        <family val="2"/>
        <scheme val="minor"/>
      </rPr>
      <t>R$ 4,95</t>
    </r>
  </si>
  <si>
    <r>
      <t>Escada de abrir (em V),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em alumínio ENTRE 6 E 8 degraus, pés antiderrapantes, sapatas de borracha.</t>
    </r>
  </si>
  <si>
    <t>QUADRO RESUMO - SR/PF/MT</t>
  </si>
  <si>
    <t>PONTES E LACERDA</t>
  </si>
  <si>
    <r>
      <t xml:space="preserve">C.3. Tributos Municipais (ISS) - </t>
    </r>
    <r>
      <rPr>
        <b/>
        <sz val="10"/>
        <color rgb="FFFF0000"/>
        <rFont val="Calibri"/>
        <family val="2"/>
        <scheme val="minor"/>
      </rPr>
      <t>Pontes e Lacerda</t>
    </r>
  </si>
  <si>
    <r>
      <t xml:space="preserve">LIMPEZA E CONSERVAÇÃO </t>
    </r>
    <r>
      <rPr>
        <b/>
        <sz val="12"/>
        <color rgb="FFFF0000"/>
        <rFont val="Calibri"/>
        <family val="2"/>
        <scheme val="minor"/>
      </rPr>
      <t>PONTES E LACERDA/MT</t>
    </r>
  </si>
  <si>
    <t>Pontes e Lacerda/MT</t>
  </si>
  <si>
    <t>2 X AO DIA</t>
  </si>
  <si>
    <t>POSTO GOIABEIRAS</t>
  </si>
  <si>
    <t>MATERIAIS  - BASE GISE - PONTES E LACERDA</t>
  </si>
  <si>
    <t>UTENSÍLIOS  - BASE GISE - PONTES E LACERDA</t>
  </si>
  <si>
    <t>Mop Sekito Grande Reforçado</t>
  </si>
  <si>
    <t>EQUIPAMENTOS  - POSTO DE SERVIÇOS GOIABEIRAS - CUIABÁ</t>
  </si>
  <si>
    <t>Kit Carrinho de Limpeza Doblô Flex 20 Litros</t>
  </si>
  <si>
    <t>DEPRECIAÇÃO MENSAL INDIVIDUAL POR 1 EMPREGADOS</t>
  </si>
  <si>
    <t>EQUIPAMENTOS - BASE GISE CUIABÁ</t>
  </si>
  <si>
    <t>EQUIPAMENTOS - BASE GISE - PONTES E LACERDA</t>
  </si>
  <si>
    <t>11 janelas em vidro</t>
  </si>
  <si>
    <t>QUINZENALMENTE</t>
  </si>
  <si>
    <t>SEMANALMENTE</t>
  </si>
  <si>
    <t>Nº PROCESSO: 08320.XXXXXX/2024-XX</t>
  </si>
  <si>
    <t>POSTO GISE</t>
  </si>
  <si>
    <t>MESES DE CONTRATO</t>
  </si>
  <si>
    <t>VALOR TOTAL 2 ANOS</t>
  </si>
  <si>
    <t>V. UNIT.</t>
  </si>
  <si>
    <t>CAIXA</t>
  </si>
  <si>
    <t>V. MENSAL</t>
  </si>
  <si>
    <t>SR/PF/MT</t>
  </si>
  <si>
    <t>CATMAT</t>
  </si>
  <si>
    <t>3 a 6</t>
  </si>
  <si>
    <t>8 a 10</t>
  </si>
  <si>
    <t>12 a 14</t>
  </si>
  <si>
    <t>16 a 18</t>
  </si>
  <si>
    <t>20 a 22</t>
  </si>
  <si>
    <t>24 a 26</t>
  </si>
  <si>
    <t>28 a 30</t>
  </si>
  <si>
    <t>32 a 34</t>
  </si>
  <si>
    <r>
      <t xml:space="preserve">Adicional de Insalubridade </t>
    </r>
    <r>
      <rPr>
        <b/>
        <sz val="10"/>
        <color rgb="FFFF0000"/>
        <rFont val="Calibri"/>
        <family val="2"/>
        <scheme val="minor"/>
      </rPr>
      <t>(CLÁUSULA 13ª CCT2023 SEAC/MT) Banheiros com 41 a 60 pessoas diárias 30%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do Salário mínimo do país</t>
    </r>
    <r>
      <rPr>
        <sz val="10"/>
        <color rgb="FF3333FF"/>
        <rFont val="Calibri"/>
        <family val="2"/>
        <scheme val="minor"/>
      </rPr>
      <t xml:space="preserve"> </t>
    </r>
    <r>
      <rPr>
        <b/>
        <sz val="10"/>
        <color rgb="FF3333FF"/>
        <rFont val="Calibri"/>
        <family val="2"/>
        <scheme val="minor"/>
      </rPr>
      <t>R$ 1.412,00 (2024)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</si>
</sst>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0.0000%"/>
    <numFmt numFmtId="167" formatCode="&quot;R$ &quot;#,##0.00"/>
    <numFmt numFmtId="168" formatCode="d/m/yyyy"/>
    <numFmt numFmtId="169" formatCode="#,##0.00_ ;\-#,##0.00\ "/>
    <numFmt numFmtId="170" formatCode="_-&quot;R$&quot;* #,##0.0000_-;\-&quot;R$&quot;* #,##0.0000_-;_-&quot;R$&quot;* &quot;-&quot;??_-;_-@_-"/>
    <numFmt numFmtId="171" formatCode="&quot;R$&quot;\ #,##0.00"/>
    <numFmt numFmtId="172" formatCode="0.000"/>
    <numFmt numFmtId="173" formatCode="0.000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9"/>
      <color indexed="81"/>
      <name val="Segoe UI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3333FF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3333FF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Wingdings"/>
      <charset val="2"/>
    </font>
    <font>
      <sz val="10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rgb="FF000000"/>
      <name val="Calibri"/>
      <family val="2"/>
    </font>
    <font>
      <u/>
      <sz val="10"/>
      <color indexed="8"/>
      <name val="Calibri"/>
      <family val="2"/>
    </font>
    <font>
      <u/>
      <sz val="10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Wingdings"/>
      <charset val="2"/>
    </font>
    <font>
      <b/>
      <i/>
      <sz val="10"/>
      <color rgb="FF3333FF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165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6" applyNumberFormat="0" applyAlignment="0" applyProtection="0"/>
    <xf numFmtId="0" fontId="11" fillId="7" borderId="7" applyNumberFormat="0" applyAlignment="0" applyProtection="0"/>
    <xf numFmtId="0" fontId="12" fillId="7" borderId="6" applyNumberFormat="0" applyAlignment="0" applyProtection="0"/>
    <xf numFmtId="0" fontId="13" fillId="0" borderId="8" applyNumberFormat="0" applyFill="0" applyAlignment="0" applyProtection="0"/>
    <xf numFmtId="0" fontId="14" fillId="8" borderId="9" applyNumberFormat="0" applyAlignment="0" applyProtection="0"/>
    <xf numFmtId="0" fontId="15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7">
    <xf numFmtId="0" fontId="0" fillId="0" borderId="0" xfId="0"/>
    <xf numFmtId="0" fontId="21" fillId="0" borderId="12" xfId="0" applyFont="1" applyBorder="1" applyAlignment="1">
      <alignment wrapText="1"/>
    </xf>
    <xf numFmtId="0" fontId="26" fillId="0" borderId="0" xfId="0" applyFont="1"/>
    <xf numFmtId="0" fontId="27" fillId="37" borderId="12" xfId="0" applyFont="1" applyFill="1" applyBorder="1" applyAlignment="1">
      <alignment horizontal="center" vertical="center"/>
    </xf>
    <xf numFmtId="0" fontId="28" fillId="37" borderId="12" xfId="0" applyFont="1" applyFill="1" applyBorder="1" applyAlignment="1">
      <alignment horizontal="center" vertical="center" wrapText="1"/>
    </xf>
    <xf numFmtId="0" fontId="31" fillId="0" borderId="0" xfId="0" applyFont="1"/>
    <xf numFmtId="14" fontId="32" fillId="0" borderId="12" xfId="0" applyNumberFormat="1" applyFont="1" applyBorder="1" applyAlignment="1" applyProtection="1">
      <alignment horizontal="center"/>
      <protection locked="0"/>
    </xf>
    <xf numFmtId="0" fontId="22" fillId="37" borderId="12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2" fillId="39" borderId="12" xfId="0" applyFont="1" applyFill="1" applyBorder="1" applyAlignment="1">
      <alignment horizontal="center"/>
    </xf>
    <xf numFmtId="0" fontId="25" fillId="0" borderId="12" xfId="0" applyFont="1" applyBorder="1"/>
    <xf numFmtId="0" fontId="32" fillId="0" borderId="12" xfId="0" applyFont="1" applyBorder="1" applyAlignment="1" applyProtection="1">
      <alignment vertical="center" wrapText="1"/>
      <protection locked="0"/>
    </xf>
    <xf numFmtId="168" fontId="25" fillId="0" borderId="12" xfId="0" applyNumberFormat="1" applyFont="1" applyBorder="1" applyAlignment="1">
      <alignment horizontal="center"/>
    </xf>
    <xf numFmtId="0" fontId="33" fillId="0" borderId="12" xfId="0" applyFont="1" applyBorder="1"/>
    <xf numFmtId="0" fontId="31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4" fontId="31" fillId="0" borderId="0" xfId="0" applyNumberFormat="1" applyFont="1"/>
    <xf numFmtId="166" fontId="31" fillId="0" borderId="0" xfId="0" applyNumberFormat="1" applyFont="1"/>
    <xf numFmtId="164" fontId="31" fillId="0" borderId="0" xfId="0" applyNumberFormat="1" applyFont="1"/>
    <xf numFmtId="164" fontId="31" fillId="0" borderId="0" xfId="52" applyFont="1"/>
    <xf numFmtId="0" fontId="22" fillId="0" borderId="12" xfId="0" applyFont="1" applyBorder="1" applyAlignment="1" applyProtection="1">
      <alignment horizontal="center"/>
      <protection locked="0"/>
    </xf>
    <xf numFmtId="0" fontId="22" fillId="0" borderId="12" xfId="0" applyFont="1" applyBorder="1" applyAlignment="1">
      <alignment horizontal="center"/>
    </xf>
    <xf numFmtId="167" fontId="22" fillId="0" borderId="12" xfId="0" applyNumberFormat="1" applyFont="1" applyBorder="1" applyAlignment="1">
      <alignment horizontal="center"/>
    </xf>
    <xf numFmtId="0" fontId="24" fillId="0" borderId="12" xfId="0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10" fontId="31" fillId="0" borderId="12" xfId="1" applyNumberFormat="1" applyFont="1" applyBorder="1" applyAlignment="1">
      <alignment horizontal="center" vertical="center" wrapText="1"/>
    </xf>
    <xf numFmtId="10" fontId="22" fillId="0" borderId="12" xfId="1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164" fontId="31" fillId="0" borderId="12" xfId="52" applyFont="1" applyBorder="1" applyAlignment="1">
      <alignment horizontal="center" vertical="center" wrapText="1"/>
    </xf>
    <xf numFmtId="164" fontId="24" fillId="37" borderId="12" xfId="52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justify" vertical="center" wrapText="1"/>
    </xf>
    <xf numFmtId="0" fontId="21" fillId="0" borderId="12" xfId="0" applyFont="1" applyBorder="1" applyAlignment="1">
      <alignment horizontal="justify" vertical="center" wrapText="1"/>
    </xf>
    <xf numFmtId="10" fontId="31" fillId="0" borderId="12" xfId="0" applyNumberFormat="1" applyFont="1" applyBorder="1" applyAlignment="1">
      <alignment horizontal="center" vertical="center" wrapText="1"/>
    </xf>
    <xf numFmtId="9" fontId="22" fillId="34" borderId="12" xfId="0" applyNumberFormat="1" applyFont="1" applyFill="1" applyBorder="1" applyAlignment="1">
      <alignment horizontal="center" vertical="center" wrapText="1"/>
    </xf>
    <xf numFmtId="10" fontId="24" fillId="38" borderId="12" xfId="0" applyNumberFormat="1" applyFont="1" applyFill="1" applyBorder="1" applyAlignment="1">
      <alignment horizontal="center" vertical="center" wrapText="1"/>
    </xf>
    <xf numFmtId="10" fontId="24" fillId="0" borderId="12" xfId="0" applyNumberFormat="1" applyFont="1" applyBorder="1" applyAlignment="1">
      <alignment horizontal="center" vertical="center" wrapText="1"/>
    </xf>
    <xf numFmtId="0" fontId="31" fillId="0" borderId="12" xfId="0" applyFont="1" applyBorder="1"/>
    <xf numFmtId="0" fontId="34" fillId="0" borderId="0" xfId="0" applyFont="1"/>
    <xf numFmtId="0" fontId="24" fillId="0" borderId="12" xfId="0" applyFont="1" applyBorder="1" applyAlignment="1">
      <alignment horizontal="center" vertical="center" wrapText="1"/>
    </xf>
    <xf numFmtId="0" fontId="24" fillId="37" borderId="12" xfId="0" applyFont="1" applyFill="1" applyBorder="1" applyAlignment="1">
      <alignment horizontal="center" vertical="center" wrapText="1"/>
    </xf>
    <xf numFmtId="10" fontId="34" fillId="0" borderId="12" xfId="1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/>
    </xf>
    <xf numFmtId="10" fontId="31" fillId="0" borderId="0" xfId="1" applyNumberFormat="1" applyFont="1"/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vertical="top" wrapText="1"/>
    </xf>
    <xf numFmtId="164" fontId="32" fillId="0" borderId="0" xfId="52" applyFont="1"/>
    <xf numFmtId="164" fontId="21" fillId="0" borderId="0" xfId="0" applyNumberFormat="1" applyFont="1"/>
    <xf numFmtId="0" fontId="21" fillId="0" borderId="0" xfId="0" applyFont="1"/>
    <xf numFmtId="170" fontId="31" fillId="0" borderId="0" xfId="52" applyNumberFormat="1" applyFont="1"/>
    <xf numFmtId="169" fontId="31" fillId="0" borderId="12" xfId="52" applyNumberFormat="1" applyFont="1" applyBorder="1" applyAlignment="1">
      <alignment horizontal="center" vertical="center" wrapText="1"/>
    </xf>
    <xf numFmtId="169" fontId="24" fillId="38" borderId="12" xfId="52" applyNumberFormat="1" applyFont="1" applyFill="1" applyBorder="1" applyAlignment="1">
      <alignment horizontal="center" vertical="center" wrapText="1"/>
    </xf>
    <xf numFmtId="169" fontId="24" fillId="37" borderId="12" xfId="52" applyNumberFormat="1" applyFont="1" applyFill="1" applyBorder="1" applyAlignment="1">
      <alignment horizontal="center" vertical="center" wrapText="1"/>
    </xf>
    <xf numFmtId="169" fontId="31" fillId="0" borderId="12" xfId="0" applyNumberFormat="1" applyFont="1" applyBorder="1" applyAlignment="1">
      <alignment horizontal="center" vertical="center" wrapText="1"/>
    </xf>
    <xf numFmtId="169" fontId="24" fillId="37" borderId="12" xfId="0" applyNumberFormat="1" applyFont="1" applyFill="1" applyBorder="1" applyAlignment="1">
      <alignment horizontal="center" vertical="center" wrapText="1"/>
    </xf>
    <xf numFmtId="169" fontId="31" fillId="0" borderId="12" xfId="52" applyNumberFormat="1" applyFont="1" applyFill="1" applyBorder="1" applyAlignment="1">
      <alignment horizontal="center" vertical="center" wrapText="1"/>
    </xf>
    <xf numFmtId="169" fontId="22" fillId="0" borderId="15" xfId="0" applyNumberFormat="1" applyFont="1" applyBorder="1" applyAlignment="1">
      <alignment horizontal="center" vertical="center" wrapText="1"/>
    </xf>
    <xf numFmtId="169" fontId="31" fillId="0" borderId="12" xfId="52" applyNumberFormat="1" applyFont="1" applyBorder="1" applyAlignment="1">
      <alignment vertical="center"/>
    </xf>
    <xf numFmtId="169" fontId="31" fillId="0" borderId="12" xfId="0" applyNumberFormat="1" applyFont="1" applyBorder="1" applyAlignment="1">
      <alignment vertical="center" wrapText="1"/>
    </xf>
    <xf numFmtId="169" fontId="24" fillId="0" borderId="12" xfId="0" applyNumberFormat="1" applyFont="1" applyBorder="1" applyAlignment="1">
      <alignment vertical="center" wrapText="1"/>
    </xf>
    <xf numFmtId="169" fontId="24" fillId="36" borderId="12" xfId="0" applyNumberFormat="1" applyFont="1" applyFill="1" applyBorder="1" applyAlignment="1">
      <alignment vertical="center" wrapText="1"/>
    </xf>
    <xf numFmtId="169" fontId="24" fillId="37" borderId="12" xfId="0" applyNumberFormat="1" applyFont="1" applyFill="1" applyBorder="1" applyAlignment="1">
      <alignment vertical="center" wrapText="1"/>
    </xf>
    <xf numFmtId="169" fontId="31" fillId="0" borderId="12" xfId="0" applyNumberFormat="1" applyFont="1" applyBorder="1" applyAlignment="1">
      <alignment horizontal="center"/>
    </xf>
    <xf numFmtId="169" fontId="24" fillId="38" borderId="12" xfId="0" applyNumberFormat="1" applyFont="1" applyFill="1" applyBorder="1" applyAlignment="1">
      <alignment horizontal="center"/>
    </xf>
    <xf numFmtId="169" fontId="31" fillId="0" borderId="15" xfId="52" applyNumberFormat="1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justify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 wrapText="1"/>
    </xf>
    <xf numFmtId="4" fontId="37" fillId="40" borderId="12" xfId="0" applyNumberFormat="1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left" vertical="center" wrapText="1"/>
    </xf>
    <xf numFmtId="4" fontId="39" fillId="40" borderId="12" xfId="0" applyNumberFormat="1" applyFont="1" applyFill="1" applyBorder="1" applyAlignment="1">
      <alignment horizontal="center" vertical="center" wrapText="1"/>
    </xf>
    <xf numFmtId="0" fontId="39" fillId="40" borderId="12" xfId="0" applyFont="1" applyFill="1" applyBorder="1" applyAlignment="1">
      <alignment horizontal="center" vertical="center" wrapText="1"/>
    </xf>
    <xf numFmtId="4" fontId="40" fillId="0" borderId="12" xfId="0" applyNumberFormat="1" applyFont="1" applyBorder="1" applyAlignment="1">
      <alignment horizontal="center"/>
    </xf>
    <xf numFmtId="0" fontId="41" fillId="36" borderId="12" xfId="0" applyFont="1" applyFill="1" applyBorder="1" applyAlignment="1">
      <alignment horizontal="center" vertical="center"/>
    </xf>
    <xf numFmtId="0" fontId="41" fillId="36" borderId="12" xfId="0" applyFont="1" applyFill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 wrapText="1"/>
    </xf>
    <xf numFmtId="4" fontId="41" fillId="0" borderId="12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171" fontId="31" fillId="0" borderId="0" xfId="0" applyNumberFormat="1" applyFont="1" applyAlignment="1">
      <alignment horizontal="center" vertical="center"/>
    </xf>
    <xf numFmtId="4" fontId="31" fillId="0" borderId="12" xfId="0" applyNumberFormat="1" applyFont="1" applyBorder="1" applyAlignment="1">
      <alignment horizontal="center" vertical="center"/>
    </xf>
    <xf numFmtId="4" fontId="31" fillId="0" borderId="12" xfId="0" applyNumberFormat="1" applyFont="1" applyBorder="1" applyAlignment="1">
      <alignment horizontal="center"/>
    </xf>
    <xf numFmtId="0" fontId="31" fillId="0" borderId="0" xfId="0" applyFont="1" applyAlignment="1">
      <alignment horizontal="justify"/>
    </xf>
    <xf numFmtId="0" fontId="24" fillId="38" borderId="12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wrapText="1"/>
    </xf>
    <xf numFmtId="3" fontId="31" fillId="0" borderId="12" xfId="0" applyNumberFormat="1" applyFont="1" applyBorder="1" applyAlignment="1">
      <alignment horizontal="center" vertical="center"/>
    </xf>
    <xf numFmtId="172" fontId="3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" fontId="24" fillId="36" borderId="12" xfId="0" applyNumberFormat="1" applyFont="1" applyFill="1" applyBorder="1" applyAlignment="1">
      <alignment horizontal="center"/>
    </xf>
    <xf numFmtId="4" fontId="24" fillId="38" borderId="12" xfId="0" applyNumberFormat="1" applyFont="1" applyFill="1" applyBorder="1" applyAlignment="1">
      <alignment horizontal="center"/>
    </xf>
    <xf numFmtId="4" fontId="24" fillId="37" borderId="12" xfId="0" applyNumberFormat="1" applyFont="1" applyFill="1" applyBorder="1" applyAlignment="1">
      <alignment horizontal="center"/>
    </xf>
    <xf numFmtId="0" fontId="24" fillId="38" borderId="18" xfId="0" applyFont="1" applyFill="1" applyBorder="1" applyAlignment="1">
      <alignment horizontal="center" vertical="center"/>
    </xf>
    <xf numFmtId="2" fontId="31" fillId="0" borderId="1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25" xfId="0" applyFont="1" applyBorder="1" applyAlignment="1">
      <alignment vertical="center"/>
    </xf>
    <xf numFmtId="4" fontId="43" fillId="36" borderId="12" xfId="0" applyNumberFormat="1" applyFont="1" applyFill="1" applyBorder="1" applyAlignment="1">
      <alignment horizontal="center" vertical="center"/>
    </xf>
    <xf numFmtId="2" fontId="24" fillId="38" borderId="12" xfId="0" applyNumberFormat="1" applyFont="1" applyFill="1" applyBorder="1" applyAlignment="1">
      <alignment horizontal="center" vertical="center"/>
    </xf>
    <xf numFmtId="172" fontId="24" fillId="37" borderId="1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1" fillId="0" borderId="15" xfId="0" applyFont="1" applyBorder="1" applyAlignment="1">
      <alignment horizontal="center" vertical="center"/>
    </xf>
    <xf numFmtId="4" fontId="24" fillId="36" borderId="12" xfId="0" applyNumberFormat="1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2" fontId="23" fillId="0" borderId="12" xfId="0" applyNumberFormat="1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/>
    </xf>
    <xf numFmtId="169" fontId="29" fillId="0" borderId="12" xfId="52" applyNumberFormat="1" applyFont="1" applyBorder="1" applyAlignment="1" applyProtection="1">
      <alignment horizontal="center" vertical="center"/>
    </xf>
    <xf numFmtId="169" fontId="27" fillId="0" borderId="12" xfId="52" applyNumberFormat="1" applyFont="1" applyBorder="1" applyAlignment="1">
      <alignment horizontal="center" vertical="center"/>
    </xf>
    <xf numFmtId="4" fontId="44" fillId="0" borderId="12" xfId="0" applyNumberFormat="1" applyFont="1" applyBorder="1" applyAlignment="1">
      <alignment horizontal="center"/>
    </xf>
    <xf numFmtId="169" fontId="22" fillId="0" borderId="12" xfId="52" applyNumberFormat="1" applyFont="1" applyBorder="1" applyAlignment="1">
      <alignment horizontal="center" vertical="center" wrapText="1"/>
    </xf>
    <xf numFmtId="169" fontId="24" fillId="44" borderId="12" xfId="0" applyNumberFormat="1" applyFont="1" applyFill="1" applyBorder="1" applyAlignment="1">
      <alignment vertical="center" wrapText="1"/>
    </xf>
    <xf numFmtId="169" fontId="34" fillId="37" borderId="12" xfId="52" applyNumberFormat="1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vertical="center" wrapText="1"/>
    </xf>
    <xf numFmtId="4" fontId="48" fillId="0" borderId="12" xfId="0" applyNumberFormat="1" applyFont="1" applyBorder="1" applyAlignment="1">
      <alignment horizontal="center" vertical="center" wrapText="1"/>
    </xf>
    <xf numFmtId="0" fontId="49" fillId="0" borderId="12" xfId="0" applyFont="1" applyBorder="1" applyAlignment="1">
      <alignment vertical="center" wrapText="1"/>
    </xf>
    <xf numFmtId="4" fontId="24" fillId="38" borderId="12" xfId="0" applyNumberFormat="1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4" fillId="36" borderId="12" xfId="0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0" fontId="48" fillId="0" borderId="12" xfId="0" applyFont="1" applyBorder="1" applyAlignment="1">
      <alignment horizontal="justify" vertical="center" wrapText="1"/>
    </xf>
    <xf numFmtId="0" fontId="51" fillId="0" borderId="12" xfId="0" applyFont="1" applyBorder="1" applyAlignment="1">
      <alignment horizontal="justify" vertical="center" wrapText="1"/>
    </xf>
    <xf numFmtId="4" fontId="31" fillId="0" borderId="12" xfId="0" applyNumberFormat="1" applyFont="1" applyBorder="1"/>
    <xf numFmtId="172" fontId="24" fillId="36" borderId="12" xfId="0" applyNumberFormat="1" applyFont="1" applyFill="1" applyBorder="1"/>
    <xf numFmtId="4" fontId="29" fillId="0" borderId="12" xfId="0" applyNumberFormat="1" applyFont="1" applyBorder="1" applyAlignment="1">
      <alignment horizontal="center"/>
    </xf>
    <xf numFmtId="0" fontId="29" fillId="0" borderId="0" xfId="0" applyFont="1"/>
    <xf numFmtId="43" fontId="27" fillId="43" borderId="12" xfId="53" applyFont="1" applyFill="1" applyBorder="1" applyAlignment="1">
      <alignment horizontal="center" vertical="center" wrapText="1"/>
    </xf>
    <xf numFmtId="0" fontId="54" fillId="0" borderId="12" xfId="0" applyFont="1" applyBorder="1" applyAlignment="1">
      <alignment horizontal="left" vertical="center" wrapText="1"/>
    </xf>
    <xf numFmtId="0" fontId="55" fillId="0" borderId="12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169" fontId="29" fillId="0" borderId="12" xfId="53" applyNumberFormat="1" applyFont="1" applyBorder="1" applyAlignment="1">
      <alignment horizontal="center" vertical="center"/>
    </xf>
    <xf numFmtId="0" fontId="55" fillId="41" borderId="12" xfId="0" applyFont="1" applyFill="1" applyBorder="1" applyAlignment="1">
      <alignment horizontal="center" vertical="center" wrapText="1"/>
    </xf>
    <xf numFmtId="169" fontId="27" fillId="37" borderId="12" xfId="53" applyNumberFormat="1" applyFont="1" applyFill="1" applyBorder="1" applyAlignment="1">
      <alignment horizontal="center" vertical="center"/>
    </xf>
    <xf numFmtId="4" fontId="44" fillId="37" borderId="12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43" borderId="12" xfId="0" applyFont="1" applyFill="1" applyBorder="1" applyAlignment="1">
      <alignment horizontal="center" vertical="center"/>
    </xf>
    <xf numFmtId="0" fontId="52" fillId="43" borderId="12" xfId="0" applyFont="1" applyFill="1" applyBorder="1" applyAlignment="1">
      <alignment horizontal="center" vertical="center" wrapText="1"/>
    </xf>
    <xf numFmtId="0" fontId="53" fillId="43" borderId="12" xfId="0" applyFont="1" applyFill="1" applyBorder="1" applyAlignment="1">
      <alignment horizontal="center" vertical="center" wrapText="1"/>
    </xf>
    <xf numFmtId="0" fontId="56" fillId="4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3" fontId="44" fillId="0" borderId="12" xfId="0" applyNumberFormat="1" applyFont="1" applyBorder="1" applyAlignment="1">
      <alignment horizontal="center" vertical="center"/>
    </xf>
    <xf numFmtId="2" fontId="30" fillId="0" borderId="12" xfId="0" applyNumberFormat="1" applyFont="1" applyBorder="1" applyAlignment="1">
      <alignment vertical="center" wrapText="1"/>
    </xf>
    <xf numFmtId="0" fontId="58" fillId="42" borderId="12" xfId="0" applyFont="1" applyFill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69" fontId="31" fillId="0" borderId="12" xfId="53" applyNumberFormat="1" applyFont="1" applyBorder="1" applyAlignment="1">
      <alignment horizontal="center" vertical="center"/>
    </xf>
    <xf numFmtId="169" fontId="24" fillId="37" borderId="12" xfId="53" applyNumberFormat="1" applyFont="1" applyFill="1" applyBorder="1" applyAlignment="1">
      <alignment horizontal="center" vertical="center"/>
    </xf>
    <xf numFmtId="0" fontId="59" fillId="43" borderId="12" xfId="0" applyFont="1" applyFill="1" applyBorder="1" applyAlignment="1">
      <alignment horizontal="center" vertical="center" wrapText="1"/>
    </xf>
    <xf numFmtId="4" fontId="22" fillId="37" borderId="12" xfId="0" applyNumberFormat="1" applyFont="1" applyFill="1" applyBorder="1" applyAlignment="1">
      <alignment horizontal="center"/>
    </xf>
    <xf numFmtId="0" fontId="61" fillId="42" borderId="12" xfId="0" applyFont="1" applyFill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51" fillId="41" borderId="12" xfId="0" applyFont="1" applyFill="1" applyBorder="1" applyAlignment="1">
      <alignment horizontal="center" vertical="center"/>
    </xf>
    <xf numFmtId="0" fontId="25" fillId="41" borderId="12" xfId="0" applyFont="1" applyFill="1" applyBorder="1" applyAlignment="1">
      <alignment horizontal="center" vertical="center"/>
    </xf>
    <xf numFmtId="0" fontId="51" fillId="41" borderId="12" xfId="0" applyFont="1" applyFill="1" applyBorder="1" applyAlignment="1">
      <alignment horizontal="justify" vertical="center" wrapText="1"/>
    </xf>
    <xf numFmtId="169" fontId="24" fillId="0" borderId="12" xfId="53" applyNumberFormat="1" applyFont="1" applyBorder="1" applyAlignment="1">
      <alignment horizontal="center" vertical="center"/>
    </xf>
    <xf numFmtId="0" fontId="25" fillId="41" borderId="12" xfId="0" applyFont="1" applyFill="1" applyBorder="1" applyAlignment="1">
      <alignment horizontal="justify" vertical="center" wrapText="1"/>
    </xf>
    <xf numFmtId="0" fontId="51" fillId="44" borderId="12" xfId="0" applyFont="1" applyFill="1" applyBorder="1" applyAlignment="1">
      <alignment horizontal="center" vertical="center"/>
    </xf>
    <xf numFmtId="0" fontId="25" fillId="44" borderId="12" xfId="0" applyFont="1" applyFill="1" applyBorder="1" applyAlignment="1">
      <alignment horizontal="center" vertical="center"/>
    </xf>
    <xf numFmtId="4" fontId="22" fillId="37" borderId="12" xfId="0" applyNumberFormat="1" applyFont="1" applyFill="1" applyBorder="1" applyAlignment="1">
      <alignment horizontal="center" vertical="center"/>
    </xf>
    <xf numFmtId="0" fontId="43" fillId="42" borderId="12" xfId="0" applyFont="1" applyFill="1" applyBorder="1" applyAlignment="1">
      <alignment horizontal="center" vertical="center" wrapText="1"/>
    </xf>
    <xf numFmtId="4" fontId="25" fillId="0" borderId="12" xfId="0" applyNumberFormat="1" applyFont="1" applyBorder="1" applyAlignment="1">
      <alignment horizontal="center" vertical="center"/>
    </xf>
    <xf numFmtId="4" fontId="43" fillId="37" borderId="12" xfId="0" applyNumberFormat="1" applyFont="1" applyFill="1" applyBorder="1" applyAlignment="1">
      <alignment horizontal="center" vertical="center"/>
    </xf>
    <xf numFmtId="0" fontId="32" fillId="42" borderId="12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justify" vertical="center" wrapText="1"/>
    </xf>
    <xf numFmtId="0" fontId="25" fillId="41" borderId="12" xfId="0" applyFont="1" applyFill="1" applyBorder="1" applyAlignment="1">
      <alignment horizontal="center" vertical="center" wrapText="1"/>
    </xf>
    <xf numFmtId="0" fontId="31" fillId="41" borderId="12" xfId="0" applyFont="1" applyFill="1" applyBorder="1" applyAlignment="1">
      <alignment horizontal="center" vertical="center"/>
    </xf>
    <xf numFmtId="43" fontId="24" fillId="43" borderId="12" xfId="53" applyFont="1" applyFill="1" applyBorder="1" applyAlignment="1">
      <alignment horizontal="center" vertical="center" wrapText="1"/>
    </xf>
    <xf numFmtId="0" fontId="48" fillId="41" borderId="12" xfId="0" applyFont="1" applyFill="1" applyBorder="1" applyAlignment="1">
      <alignment horizontal="center" vertical="center" wrapText="1"/>
    </xf>
    <xf numFmtId="0" fontId="51" fillId="44" borderId="12" xfId="0" applyFont="1" applyFill="1" applyBorder="1" applyAlignment="1">
      <alignment horizontal="justify" vertical="center" wrapText="1"/>
    </xf>
    <xf numFmtId="169" fontId="24" fillId="0" borderId="12" xfId="53" applyNumberFormat="1" applyFont="1" applyFill="1" applyBorder="1" applyAlignment="1">
      <alignment horizontal="center" vertical="center"/>
    </xf>
    <xf numFmtId="0" fontId="43" fillId="43" borderId="12" xfId="0" applyFont="1" applyFill="1" applyBorder="1" applyAlignment="1">
      <alignment vertical="center" wrapText="1"/>
    </xf>
    <xf numFmtId="0" fontId="43" fillId="42" borderId="12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22" fillId="42" borderId="12" xfId="0" applyFont="1" applyFill="1" applyBorder="1" applyAlignment="1">
      <alignment horizontal="center" vertical="center" wrapText="1"/>
    </xf>
    <xf numFmtId="4" fontId="25" fillId="37" borderId="12" xfId="0" applyNumberFormat="1" applyFont="1" applyFill="1" applyBorder="1" applyAlignment="1">
      <alignment horizontal="center" vertical="center"/>
    </xf>
    <xf numFmtId="0" fontId="21" fillId="42" borderId="1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8" fillId="0" borderId="12" xfId="0" applyFont="1" applyBorder="1"/>
    <xf numFmtId="0" fontId="38" fillId="0" borderId="12" xfId="0" applyFont="1" applyBorder="1" applyAlignment="1">
      <alignment horizontal="center"/>
    </xf>
    <xf numFmtId="3" fontId="31" fillId="40" borderId="12" xfId="0" applyNumberFormat="1" applyFont="1" applyFill="1" applyBorder="1" applyAlignment="1">
      <alignment horizontal="center" vertical="center"/>
    </xf>
    <xf numFmtId="4" fontId="38" fillId="0" borderId="12" xfId="0" applyNumberFormat="1" applyFont="1" applyBorder="1" applyAlignment="1">
      <alignment horizontal="center"/>
    </xf>
    <xf numFmtId="2" fontId="38" fillId="0" borderId="12" xfId="0" applyNumberFormat="1" applyFont="1" applyBorder="1" applyAlignment="1">
      <alignment horizontal="center"/>
    </xf>
    <xf numFmtId="172" fontId="38" fillId="0" borderId="12" xfId="0" applyNumberFormat="1" applyFont="1" applyBorder="1" applyAlignment="1">
      <alignment horizontal="center"/>
    </xf>
    <xf numFmtId="0" fontId="38" fillId="0" borderId="12" xfId="0" applyFont="1" applyBorder="1" applyAlignment="1">
      <alignment horizontal="left" vertical="center"/>
    </xf>
    <xf numFmtId="0" fontId="38" fillId="0" borderId="12" xfId="0" applyFont="1" applyBorder="1" applyAlignment="1">
      <alignment horizontal="center" vertical="center"/>
    </xf>
    <xf numFmtId="4" fontId="38" fillId="0" borderId="12" xfId="0" applyNumberFormat="1" applyFont="1" applyBorder="1" applyAlignment="1">
      <alignment horizontal="center" vertical="center"/>
    </xf>
    <xf numFmtId="1" fontId="38" fillId="0" borderId="12" xfId="0" applyNumberFormat="1" applyFont="1" applyBorder="1" applyAlignment="1">
      <alignment horizontal="center" vertical="center"/>
    </xf>
    <xf numFmtId="172" fontId="38" fillId="0" borderId="12" xfId="0" applyNumberFormat="1" applyFont="1" applyBorder="1" applyAlignment="1">
      <alignment horizontal="center" vertical="center"/>
    </xf>
    <xf numFmtId="173" fontId="38" fillId="0" borderId="12" xfId="0" applyNumberFormat="1" applyFont="1" applyBorder="1" applyAlignment="1">
      <alignment horizontal="center"/>
    </xf>
    <xf numFmtId="4" fontId="40" fillId="38" borderId="12" xfId="0" applyNumberFormat="1" applyFont="1" applyFill="1" applyBorder="1" applyAlignment="1">
      <alignment horizontal="center"/>
    </xf>
    <xf numFmtId="2" fontId="40" fillId="37" borderId="12" xfId="0" applyNumberFormat="1" applyFont="1" applyFill="1" applyBorder="1" applyAlignment="1">
      <alignment horizontal="center"/>
    </xf>
    <xf numFmtId="0" fontId="40" fillId="38" borderId="12" xfId="0" applyFont="1" applyFill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3" fontId="37" fillId="40" borderId="12" xfId="0" applyNumberFormat="1" applyFont="1" applyFill="1" applyBorder="1" applyAlignment="1">
      <alignment horizontal="center" vertical="center"/>
    </xf>
    <xf numFmtId="3" fontId="38" fillId="0" borderId="12" xfId="0" applyNumberFormat="1" applyFont="1" applyBorder="1" applyAlignment="1">
      <alignment horizontal="center" vertical="center"/>
    </xf>
    <xf numFmtId="2" fontId="38" fillId="0" borderId="12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4" fontId="38" fillId="0" borderId="17" xfId="0" applyNumberFormat="1" applyFont="1" applyBorder="1" applyAlignment="1">
      <alignment horizontal="center" vertical="center"/>
    </xf>
    <xf numFmtId="4" fontId="40" fillId="0" borderId="17" xfId="0" applyNumberFormat="1" applyFont="1" applyBorder="1" applyAlignment="1">
      <alignment horizontal="center" vertical="center"/>
    </xf>
    <xf numFmtId="4" fontId="40" fillId="38" borderId="17" xfId="0" applyNumberFormat="1" applyFont="1" applyFill="1" applyBorder="1" applyAlignment="1">
      <alignment horizontal="center" vertical="center"/>
    </xf>
    <xf numFmtId="2" fontId="40" fillId="37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40" fillId="38" borderId="18" xfId="0" applyFont="1" applyFill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 wrapText="1"/>
    </xf>
    <xf numFmtId="0" fontId="38" fillId="40" borderId="12" xfId="0" applyFont="1" applyFill="1" applyBorder="1" applyAlignment="1">
      <alignment horizontal="center" vertical="center"/>
    </xf>
    <xf numFmtId="2" fontId="40" fillId="38" borderId="12" xfId="0" applyNumberFormat="1" applyFont="1" applyFill="1" applyBorder="1" applyAlignment="1">
      <alignment horizontal="center" vertical="center"/>
    </xf>
    <xf numFmtId="2" fontId="40" fillId="37" borderId="12" xfId="0" applyNumberFormat="1" applyFont="1" applyFill="1" applyBorder="1" applyAlignment="1">
      <alignment horizontal="center" vertical="center"/>
    </xf>
    <xf numFmtId="4" fontId="0" fillId="0" borderId="28" xfId="0" applyNumberFormat="1" applyBorder="1"/>
    <xf numFmtId="2" fontId="0" fillId="0" borderId="28" xfId="0" applyNumberFormat="1" applyBorder="1"/>
    <xf numFmtId="0" fontId="38" fillId="0" borderId="12" xfId="0" applyFont="1" applyBorder="1" applyAlignment="1">
      <alignment wrapText="1"/>
    </xf>
    <xf numFmtId="0" fontId="64" fillId="0" borderId="12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3" fontId="0" fillId="40" borderId="12" xfId="0" applyNumberFormat="1" applyFill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2" fontId="40" fillId="0" borderId="12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4" fontId="40" fillId="0" borderId="12" xfId="0" applyNumberFormat="1" applyFont="1" applyBorder="1" applyAlignment="1">
      <alignment horizontal="center" vertical="center"/>
    </xf>
    <xf numFmtId="4" fontId="40" fillId="38" borderId="12" xfId="0" applyNumberFormat="1" applyFont="1" applyFill="1" applyBorder="1" applyAlignment="1">
      <alignment horizontal="center" vertical="center"/>
    </xf>
    <xf numFmtId="0" fontId="38" fillId="38" borderId="12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left" vertical="center" wrapText="1"/>
    </xf>
    <xf numFmtId="2" fontId="15" fillId="0" borderId="28" xfId="0" applyNumberFormat="1" applyFont="1" applyBorder="1"/>
    <xf numFmtId="3" fontId="38" fillId="40" borderId="12" xfId="0" applyNumberFormat="1" applyFont="1" applyFill="1" applyBorder="1" applyAlignment="1">
      <alignment horizontal="center" vertical="center"/>
    </xf>
    <xf numFmtId="0" fontId="40" fillId="0" borderId="12" xfId="0" applyFont="1" applyBorder="1" applyAlignment="1">
      <alignment horizontal="center" wrapText="1"/>
    </xf>
    <xf numFmtId="172" fontId="40" fillId="38" borderId="12" xfId="0" applyNumberFormat="1" applyFont="1" applyFill="1" applyBorder="1" applyAlignment="1">
      <alignment horizontal="center" vertical="center"/>
    </xf>
    <xf numFmtId="0" fontId="38" fillId="38" borderId="12" xfId="0" applyFont="1" applyFill="1" applyBorder="1" applyAlignment="1">
      <alignment horizontal="center" vertical="center"/>
    </xf>
    <xf numFmtId="172" fontId="40" fillId="37" borderId="12" xfId="0" applyNumberFormat="1" applyFont="1" applyFill="1" applyBorder="1" applyAlignment="1">
      <alignment horizontal="center" vertical="center"/>
    </xf>
    <xf numFmtId="0" fontId="40" fillId="36" borderId="18" xfId="0" applyFont="1" applyFill="1" applyBorder="1" applyAlignment="1">
      <alignment horizontal="center" vertical="center"/>
    </xf>
    <xf numFmtId="172" fontId="0" fillId="0" borderId="28" xfId="0" applyNumberFormat="1" applyBorder="1"/>
    <xf numFmtId="169" fontId="31" fillId="0" borderId="12" xfId="52" applyNumberFormat="1" applyFont="1" applyBorder="1" applyAlignment="1">
      <alignment horizontal="center" vertical="center"/>
    </xf>
    <xf numFmtId="164" fontId="67" fillId="0" borderId="0" xfId="52" applyFont="1"/>
    <xf numFmtId="10" fontId="24" fillId="0" borderId="12" xfId="1" applyNumberFormat="1" applyFont="1" applyBorder="1" applyAlignment="1">
      <alignment horizontal="center" vertical="center" wrapText="1"/>
    </xf>
    <xf numFmtId="4" fontId="30" fillId="0" borderId="12" xfId="52" applyNumberFormat="1" applyFont="1" applyFill="1" applyBorder="1" applyAlignment="1" applyProtection="1">
      <alignment horizontal="center" vertical="center" wrapText="1"/>
    </xf>
    <xf numFmtId="4" fontId="44" fillId="0" borderId="12" xfId="0" applyNumberFormat="1" applyFont="1" applyBorder="1" applyAlignment="1">
      <alignment horizontal="center" vertical="center" wrapText="1"/>
    </xf>
    <xf numFmtId="169" fontId="68" fillId="0" borderId="12" xfId="52" applyNumberFormat="1" applyFont="1" applyBorder="1" applyAlignment="1">
      <alignment horizontal="center" vertical="center"/>
    </xf>
    <xf numFmtId="0" fontId="26" fillId="0" borderId="12" xfId="0" applyFont="1" applyBorder="1"/>
    <xf numFmtId="0" fontId="26" fillId="0" borderId="12" xfId="0" applyFont="1" applyBorder="1" applyAlignment="1">
      <alignment horizontal="center"/>
    </xf>
    <xf numFmtId="4" fontId="26" fillId="0" borderId="0" xfId="0" applyNumberFormat="1" applyFont="1"/>
    <xf numFmtId="0" fontId="69" fillId="43" borderId="12" xfId="0" applyFont="1" applyFill="1" applyBorder="1" applyAlignment="1">
      <alignment horizontal="center" vertical="center" wrapText="1"/>
    </xf>
    <xf numFmtId="0" fontId="70" fillId="42" borderId="29" xfId="0" applyFont="1" applyFill="1" applyBorder="1" applyAlignment="1">
      <alignment horizontal="center" vertical="center" wrapText="1"/>
    </xf>
    <xf numFmtId="0" fontId="70" fillId="42" borderId="12" xfId="0" applyFont="1" applyFill="1" applyBorder="1" applyAlignment="1">
      <alignment horizontal="center" vertical="center" wrapText="1"/>
    </xf>
    <xf numFmtId="0" fontId="55" fillId="0" borderId="12" xfId="0" applyFont="1" applyBorder="1" applyAlignment="1">
      <alignment horizontal="justify" vertical="center" wrapText="1"/>
    </xf>
    <xf numFmtId="0" fontId="55" fillId="41" borderId="12" xfId="0" applyFont="1" applyFill="1" applyBorder="1" applyAlignment="1">
      <alignment horizontal="center" vertical="center"/>
    </xf>
    <xf numFmtId="0" fontId="26" fillId="41" borderId="12" xfId="0" applyFont="1" applyFill="1" applyBorder="1" applyAlignment="1">
      <alignment horizontal="center" vertical="center"/>
    </xf>
    <xf numFmtId="0" fontId="55" fillId="41" borderId="12" xfId="0" applyFont="1" applyFill="1" applyBorder="1" applyAlignment="1">
      <alignment horizontal="justify" vertical="center" wrapText="1"/>
    </xf>
    <xf numFmtId="0" fontId="69" fillId="41" borderId="12" xfId="0" applyFont="1" applyFill="1" applyBorder="1" applyAlignment="1">
      <alignment horizontal="center" vertical="center"/>
    </xf>
    <xf numFmtId="0" fontId="44" fillId="43" borderId="12" xfId="0" applyFont="1" applyFill="1" applyBorder="1" applyAlignment="1">
      <alignment horizontal="center" vertical="center" wrapText="1"/>
    </xf>
    <xf numFmtId="0" fontId="69" fillId="42" borderId="18" xfId="0" applyFont="1" applyFill="1" applyBorder="1" applyAlignment="1">
      <alignment horizontal="center" vertical="center" wrapText="1"/>
    </xf>
    <xf numFmtId="0" fontId="69" fillId="42" borderId="12" xfId="0" applyFont="1" applyFill="1" applyBorder="1" applyAlignment="1">
      <alignment horizontal="center" vertical="center" wrapText="1"/>
    </xf>
    <xf numFmtId="0" fontId="26" fillId="41" borderId="12" xfId="0" applyFont="1" applyFill="1" applyBorder="1" applyAlignment="1">
      <alignment horizontal="justify" vertical="center" wrapText="1"/>
    </xf>
    <xf numFmtId="0" fontId="23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justify" vertical="center" wrapText="1"/>
    </xf>
    <xf numFmtId="0" fontId="26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6" fillId="41" borderId="12" xfId="0" applyFont="1" applyFill="1" applyBorder="1" applyAlignment="1">
      <alignment horizontal="justify" vertical="center"/>
    </xf>
    <xf numFmtId="0" fontId="29" fillId="41" borderId="12" xfId="0" applyFont="1" applyFill="1" applyBorder="1" applyAlignment="1">
      <alignment horizontal="justify" vertical="center" wrapText="1"/>
    </xf>
    <xf numFmtId="0" fontId="26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justify" vertical="center" wrapText="1"/>
    </xf>
    <xf numFmtId="0" fontId="29" fillId="41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41" borderId="12" xfId="0" applyFont="1" applyFill="1" applyBorder="1" applyAlignment="1">
      <alignment horizontal="center" vertical="center" wrapText="1"/>
    </xf>
    <xf numFmtId="0" fontId="69" fillId="41" borderId="13" xfId="0" applyFont="1" applyFill="1" applyBorder="1" applyAlignment="1">
      <alignment horizontal="center" vertical="center"/>
    </xf>
    <xf numFmtId="0" fontId="29" fillId="41" borderId="14" xfId="0" applyFont="1" applyFill="1" applyBorder="1" applyAlignment="1">
      <alignment horizontal="justify" vertical="center" wrapText="1"/>
    </xf>
    <xf numFmtId="0" fontId="26" fillId="0" borderId="14" xfId="0" applyFont="1" applyBorder="1" applyAlignment="1">
      <alignment horizontal="center" vertical="center" wrapText="1"/>
    </xf>
    <xf numFmtId="0" fontId="29" fillId="41" borderId="14" xfId="0" applyFont="1" applyFill="1" applyBorder="1" applyAlignment="1">
      <alignment horizontal="center" vertical="center" wrapText="1"/>
    </xf>
    <xf numFmtId="169" fontId="29" fillId="0" borderId="15" xfId="53" applyNumberFormat="1" applyFont="1" applyBorder="1" applyAlignment="1">
      <alignment horizontal="center" vertical="center"/>
    </xf>
    <xf numFmtId="4" fontId="44" fillId="37" borderId="12" xfId="0" applyNumberFormat="1" applyFont="1" applyFill="1" applyBorder="1" applyAlignment="1">
      <alignment horizontal="center"/>
    </xf>
    <xf numFmtId="0" fontId="27" fillId="42" borderId="12" xfId="0" applyFont="1" applyFill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/>
    </xf>
    <xf numFmtId="169" fontId="29" fillId="0" borderId="12" xfId="0" applyNumberFormat="1" applyFont="1" applyBorder="1" applyAlignment="1">
      <alignment horizontal="center" vertical="center"/>
    </xf>
    <xf numFmtId="4" fontId="69" fillId="37" borderId="12" xfId="0" applyNumberFormat="1" applyFont="1" applyFill="1" applyBorder="1" applyAlignment="1">
      <alignment horizontal="center" vertical="center"/>
    </xf>
    <xf numFmtId="0" fontId="44" fillId="42" borderId="12" xfId="0" applyFont="1" applyFill="1" applyBorder="1" applyAlignment="1">
      <alignment horizontal="center" vertical="center" wrapText="1"/>
    </xf>
    <xf numFmtId="0" fontId="69" fillId="41" borderId="18" xfId="0" applyFont="1" applyFill="1" applyBorder="1" applyAlignment="1">
      <alignment horizontal="center" vertical="center"/>
    </xf>
    <xf numFmtId="0" fontId="26" fillId="41" borderId="18" xfId="0" applyFont="1" applyFill="1" applyBorder="1" applyAlignment="1">
      <alignment horizontal="justify" vertical="center" wrapText="1"/>
    </xf>
    <xf numFmtId="0" fontId="26" fillId="41" borderId="18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4" fontId="26" fillId="0" borderId="18" xfId="0" applyNumberFormat="1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 wrapText="1"/>
    </xf>
    <xf numFmtId="4" fontId="26" fillId="37" borderId="12" xfId="0" applyNumberFormat="1" applyFont="1" applyFill="1" applyBorder="1" applyAlignment="1">
      <alignment horizontal="center" vertical="center"/>
    </xf>
    <xf numFmtId="0" fontId="26" fillId="41" borderId="27" xfId="0" applyFont="1" applyFill="1" applyBorder="1" applyAlignment="1">
      <alignment horizontal="justify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4" fontId="26" fillId="0" borderId="27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justify" vertical="center" wrapText="1"/>
    </xf>
    <xf numFmtId="4" fontId="69" fillId="37" borderId="17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justify" wrapText="1"/>
    </xf>
    <xf numFmtId="0" fontId="29" fillId="0" borderId="0" xfId="0" applyFont="1" applyAlignment="1">
      <alignment wrapText="1"/>
    </xf>
    <xf numFmtId="171" fontId="29" fillId="0" borderId="0" xfId="0" applyNumberFormat="1" applyFont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/>
    </xf>
    <xf numFmtId="0" fontId="24" fillId="0" borderId="0" xfId="0" applyFont="1" applyAlignment="1">
      <alignment horizontal="center"/>
    </xf>
    <xf numFmtId="164" fontId="31" fillId="0" borderId="12" xfId="52" applyFont="1" applyFill="1" applyBorder="1" applyAlignment="1">
      <alignment horizontal="center" vertical="center" wrapText="1"/>
    </xf>
    <xf numFmtId="0" fontId="47" fillId="41" borderId="12" xfId="0" applyFont="1" applyFill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/>
    </xf>
    <xf numFmtId="0" fontId="47" fillId="0" borderId="12" xfId="0" applyFont="1" applyBorder="1" applyAlignment="1">
      <alignment horizontal="justify" wrapText="1"/>
    </xf>
    <xf numFmtId="171" fontId="47" fillId="0" borderId="12" xfId="0" applyNumberFormat="1" applyFont="1" applyBorder="1" applyAlignment="1">
      <alignment horizontal="center" vertical="center"/>
    </xf>
    <xf numFmtId="4" fontId="47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58" fillId="0" borderId="13" xfId="0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center"/>
    </xf>
    <xf numFmtId="169" fontId="72" fillId="0" borderId="12" xfId="53" applyNumberFormat="1" applyFont="1" applyBorder="1" applyAlignment="1">
      <alignment horizontal="center" vertical="center"/>
    </xf>
    <xf numFmtId="0" fontId="71" fillId="0" borderId="12" xfId="0" applyFont="1" applyBorder="1" applyAlignment="1">
      <alignment horizontal="justify" vertical="center" wrapText="1"/>
    </xf>
    <xf numFmtId="0" fontId="72" fillId="0" borderId="0" xfId="0" applyFont="1"/>
    <xf numFmtId="0" fontId="56" fillId="0" borderId="12" xfId="0" applyFont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center" wrapText="1"/>
    </xf>
    <xf numFmtId="0" fontId="72" fillId="0" borderId="12" xfId="0" applyFont="1" applyBorder="1" applyAlignment="1">
      <alignment vertical="center" wrapText="1"/>
    </xf>
    <xf numFmtId="164" fontId="72" fillId="0" borderId="12" xfId="52" applyFont="1" applyBorder="1" applyAlignment="1">
      <alignment horizontal="center" vertical="center" wrapText="1"/>
    </xf>
    <xf numFmtId="0" fontId="72" fillId="0" borderId="12" xfId="0" applyFont="1" applyBorder="1" applyAlignment="1">
      <alignment horizontal="justify" vertical="center" wrapText="1"/>
    </xf>
    <xf numFmtId="4" fontId="72" fillId="0" borderId="12" xfId="0" applyNumberFormat="1" applyFont="1" applyBorder="1" applyAlignment="1">
      <alignment horizontal="center" vertical="center"/>
    </xf>
    <xf numFmtId="0" fontId="73" fillId="0" borderId="0" xfId="0" applyFont="1" applyAlignment="1">
      <alignment vertical="center"/>
    </xf>
    <xf numFmtId="169" fontId="29" fillId="0" borderId="12" xfId="52" applyNumberFormat="1" applyFont="1" applyFill="1" applyBorder="1" applyAlignment="1" applyProtection="1">
      <alignment horizontal="center" vertical="center"/>
    </xf>
    <xf numFmtId="4" fontId="38" fillId="0" borderId="0" xfId="0" applyNumberFormat="1" applyFont="1"/>
    <xf numFmtId="2" fontId="38" fillId="0" borderId="0" xfId="0" applyNumberFormat="1" applyFont="1"/>
    <xf numFmtId="4" fontId="64" fillId="38" borderId="12" xfId="0" applyNumberFormat="1" applyFont="1" applyFill="1" applyBorder="1" applyAlignment="1">
      <alignment horizontal="center"/>
    </xf>
    <xf numFmtId="4" fontId="40" fillId="37" borderId="12" xfId="0" applyNumberFormat="1" applyFont="1" applyFill="1" applyBorder="1" applyAlignment="1">
      <alignment horizontal="center" vertical="center"/>
    </xf>
    <xf numFmtId="0" fontId="38" fillId="38" borderId="13" xfId="0" applyFont="1" applyFill="1" applyBorder="1" applyAlignment="1">
      <alignment horizontal="center" vertical="center" wrapText="1"/>
    </xf>
    <xf numFmtId="0" fontId="31" fillId="40" borderId="12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7" fillId="43" borderId="12" xfId="0" applyFont="1" applyFill="1" applyBorder="1" applyAlignment="1">
      <alignment vertical="center"/>
    </xf>
    <xf numFmtId="171" fontId="29" fillId="0" borderId="12" xfId="0" applyNumberFormat="1" applyFont="1" applyBorder="1" applyAlignment="1">
      <alignment horizontal="center" vertical="center"/>
    </xf>
    <xf numFmtId="0" fontId="70" fillId="42" borderId="18" xfId="0" applyFont="1" applyFill="1" applyBorder="1" applyAlignment="1">
      <alignment horizontal="center" vertical="center" wrapText="1"/>
    </xf>
    <xf numFmtId="7" fontId="29" fillId="0" borderId="12" xfId="52" applyNumberFormat="1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27" fillId="0" borderId="0" xfId="0" applyFont="1"/>
    <xf numFmtId="171" fontId="27" fillId="43" borderId="17" xfId="0" applyNumberFormat="1" applyFont="1" applyFill="1" applyBorder="1" applyAlignment="1">
      <alignment horizontal="center"/>
    </xf>
    <xf numFmtId="4" fontId="26" fillId="41" borderId="12" xfId="0" applyNumberFormat="1" applyFont="1" applyFill="1" applyBorder="1" applyAlignment="1">
      <alignment horizontal="center" vertical="center"/>
    </xf>
    <xf numFmtId="4" fontId="27" fillId="43" borderId="17" xfId="0" applyNumberFormat="1" applyFont="1" applyFill="1" applyBorder="1" applyAlignment="1">
      <alignment horizontal="center"/>
    </xf>
    <xf numFmtId="0" fontId="70" fillId="0" borderId="0" xfId="0" applyFont="1" applyAlignment="1">
      <alignment horizontal="center" vertical="center" wrapText="1"/>
    </xf>
    <xf numFmtId="171" fontId="27" fillId="0" borderId="0" xfId="0" applyNumberFormat="1" applyFont="1" applyAlignment="1">
      <alignment horizontal="center"/>
    </xf>
    <xf numFmtId="4" fontId="27" fillId="0" borderId="0" xfId="0" applyNumberFormat="1" applyFont="1" applyAlignment="1">
      <alignment horizontal="center"/>
    </xf>
    <xf numFmtId="3" fontId="27" fillId="43" borderId="17" xfId="0" applyNumberFormat="1" applyFont="1" applyFill="1" applyBorder="1" applyAlignment="1">
      <alignment horizontal="center"/>
    </xf>
    <xf numFmtId="7" fontId="27" fillId="43" borderId="17" xfId="0" applyNumberFormat="1" applyFont="1" applyFill="1" applyBorder="1" applyAlignment="1">
      <alignment horizontal="center"/>
    </xf>
    <xf numFmtId="171" fontId="29" fillId="0" borderId="0" xfId="0" applyNumberFormat="1" applyFont="1"/>
    <xf numFmtId="171" fontId="44" fillId="0" borderId="12" xfId="0" applyNumberFormat="1" applyFont="1" applyBorder="1" applyAlignment="1">
      <alignment horizontal="center"/>
    </xf>
    <xf numFmtId="7" fontId="44" fillId="0" borderId="12" xfId="0" applyNumberFormat="1" applyFont="1" applyBorder="1" applyAlignment="1">
      <alignment horizontal="center"/>
    </xf>
    <xf numFmtId="7" fontId="29" fillId="0" borderId="0" xfId="0" applyNumberFormat="1" applyFont="1"/>
    <xf numFmtId="7" fontId="44" fillId="0" borderId="12" xfId="52" applyNumberFormat="1" applyFont="1" applyBorder="1" applyAlignment="1">
      <alignment horizontal="center" vertical="center"/>
    </xf>
    <xf numFmtId="171" fontId="44" fillId="0" borderId="12" xfId="0" applyNumberFormat="1" applyFont="1" applyBorder="1" applyAlignment="1">
      <alignment horizontal="center" vertical="center"/>
    </xf>
    <xf numFmtId="171" fontId="44" fillId="37" borderId="12" xfId="0" applyNumberFormat="1" applyFont="1" applyFill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30" xfId="0" applyFont="1" applyBorder="1" applyAlignment="1">
      <alignment horizontal="center"/>
    </xf>
    <xf numFmtId="0" fontId="27" fillId="38" borderId="12" xfId="0" applyFont="1" applyFill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24" fillId="2" borderId="12" xfId="0" applyFont="1" applyFill="1" applyBorder="1" applyAlignment="1">
      <alignment horizontal="center" vertical="center" wrapText="1"/>
    </xf>
    <xf numFmtId="0" fontId="35" fillId="38" borderId="12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21" fillId="0" borderId="12" xfId="0" applyFont="1" applyBorder="1" applyAlignment="1">
      <alignment horizontal="center"/>
    </xf>
    <xf numFmtId="0" fontId="32" fillId="2" borderId="12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7" fillId="40" borderId="1" xfId="0" applyFont="1" applyFill="1" applyBorder="1" applyAlignment="1">
      <alignment horizontal="center" vertical="center"/>
    </xf>
    <xf numFmtId="0" fontId="27" fillId="40" borderId="16" xfId="0" applyFont="1" applyFill="1" applyBorder="1" applyAlignment="1">
      <alignment horizontal="center" vertical="center"/>
    </xf>
    <xf numFmtId="0" fontId="27" fillId="40" borderId="2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2" fillId="37" borderId="13" xfId="0" applyFont="1" applyFill="1" applyBorder="1" applyAlignment="1">
      <alignment horizontal="center" vertical="center" wrapText="1"/>
    </xf>
    <xf numFmtId="0" fontId="22" fillId="37" borderId="1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32" fillId="0" borderId="19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36" borderId="13" xfId="0" applyFont="1" applyFill="1" applyBorder="1" applyAlignment="1">
      <alignment horizontal="center" vertical="center" wrapText="1"/>
    </xf>
    <xf numFmtId="0" fontId="32" fillId="36" borderId="15" xfId="0" applyFont="1" applyFill="1" applyBorder="1" applyAlignment="1">
      <alignment horizontal="center" vertical="center" wrapText="1"/>
    </xf>
    <xf numFmtId="0" fontId="22" fillId="44" borderId="13" xfId="0" applyFont="1" applyFill="1" applyBorder="1" applyAlignment="1">
      <alignment horizontal="center" vertical="center" wrapText="1"/>
    </xf>
    <xf numFmtId="0" fontId="22" fillId="44" borderId="15" xfId="0" applyFont="1" applyFill="1" applyBorder="1" applyAlignment="1">
      <alignment horizontal="center" vertical="center" wrapText="1"/>
    </xf>
    <xf numFmtId="0" fontId="27" fillId="36" borderId="1" xfId="0" applyFont="1" applyFill="1" applyBorder="1" applyAlignment="1">
      <alignment horizontal="center" vertical="center"/>
    </xf>
    <xf numFmtId="0" fontId="27" fillId="36" borderId="16" xfId="0" applyFont="1" applyFill="1" applyBorder="1" applyAlignment="1">
      <alignment horizontal="center" vertical="center"/>
    </xf>
    <xf numFmtId="0" fontId="27" fillId="36" borderId="2" xfId="0" applyFont="1" applyFill="1" applyBorder="1" applyAlignment="1">
      <alignment horizontal="center" vertical="center"/>
    </xf>
    <xf numFmtId="0" fontId="24" fillId="35" borderId="0" xfId="0" applyFont="1" applyFill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4" fillId="38" borderId="12" xfId="0" applyFont="1" applyFill="1" applyBorder="1" applyAlignment="1">
      <alignment horizontal="center"/>
    </xf>
    <xf numFmtId="0" fontId="24" fillId="35" borderId="0" xfId="0" applyFont="1" applyFill="1" applyAlignment="1">
      <alignment horizontal="center" vertical="center" wrapText="1"/>
    </xf>
    <xf numFmtId="0" fontId="24" fillId="38" borderId="12" xfId="0" applyFont="1" applyFill="1" applyBorder="1" applyAlignment="1">
      <alignment horizontal="center" vertical="center" wrapText="1"/>
    </xf>
    <xf numFmtId="0" fontId="24" fillId="36" borderId="1" xfId="0" applyFont="1" applyFill="1" applyBorder="1" applyAlignment="1">
      <alignment horizontal="center" vertical="center"/>
    </xf>
    <xf numFmtId="0" fontId="24" fillId="36" borderId="16" xfId="0" applyFont="1" applyFill="1" applyBorder="1" applyAlignment="1">
      <alignment horizontal="center" vertical="center"/>
    </xf>
    <xf numFmtId="0" fontId="24" fillId="36" borderId="2" xfId="0" applyFont="1" applyFill="1" applyBorder="1" applyAlignment="1">
      <alignment horizontal="center" vertical="center"/>
    </xf>
    <xf numFmtId="0" fontId="24" fillId="37" borderId="13" xfId="0" applyFont="1" applyFill="1" applyBorder="1" applyAlignment="1">
      <alignment horizontal="center" vertical="center" wrapText="1"/>
    </xf>
    <xf numFmtId="0" fontId="24" fillId="37" borderId="15" xfId="0" applyFont="1" applyFill="1" applyBorder="1" applyAlignment="1">
      <alignment horizontal="center" vertical="center" wrapText="1"/>
    </xf>
    <xf numFmtId="0" fontId="24" fillId="37" borderId="23" xfId="0" applyFont="1" applyFill="1" applyBorder="1" applyAlignment="1">
      <alignment horizontal="center" vertical="center" wrapText="1"/>
    </xf>
    <xf numFmtId="0" fontId="44" fillId="37" borderId="12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39" fillId="0" borderId="25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24" fillId="36" borderId="12" xfId="0" applyFont="1" applyFill="1" applyBorder="1" applyAlignment="1">
      <alignment horizontal="center"/>
    </xf>
    <xf numFmtId="0" fontId="27" fillId="36" borderId="12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40" fillId="0" borderId="17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/>
    </xf>
    <xf numFmtId="0" fontId="24" fillId="36" borderId="12" xfId="0" applyFont="1" applyFill="1" applyBorder="1" applyAlignment="1">
      <alignment horizontal="center" vertical="center"/>
    </xf>
    <xf numFmtId="0" fontId="31" fillId="0" borderId="25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24" fillId="0" borderId="24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25" fillId="0" borderId="25" xfId="0" applyFont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27" fillId="36" borderId="24" xfId="0" applyFont="1" applyFill="1" applyBorder="1" applyAlignment="1">
      <alignment horizontal="center" vertical="center"/>
    </xf>
    <xf numFmtId="0" fontId="27" fillId="36" borderId="22" xfId="0" applyFont="1" applyFill="1" applyBorder="1" applyAlignment="1">
      <alignment horizontal="center" vertical="center"/>
    </xf>
    <xf numFmtId="1" fontId="30" fillId="37" borderId="12" xfId="0" applyNumberFormat="1" applyFont="1" applyFill="1" applyBorder="1" applyAlignment="1">
      <alignment horizontal="center" vertical="center"/>
    </xf>
    <xf numFmtId="1" fontId="44" fillId="37" borderId="12" xfId="0" applyNumberFormat="1" applyFont="1" applyFill="1" applyBorder="1" applyAlignment="1">
      <alignment horizontal="center" vertical="center"/>
    </xf>
    <xf numFmtId="0" fontId="24" fillId="37" borderId="12" xfId="0" applyFont="1" applyFill="1" applyBorder="1" applyAlignment="1">
      <alignment horizontal="center" vertical="center"/>
    </xf>
    <xf numFmtId="0" fontId="43" fillId="36" borderId="12" xfId="0" applyFont="1" applyFill="1" applyBorder="1" applyAlignment="1">
      <alignment horizontal="center" vertical="center"/>
    </xf>
    <xf numFmtId="0" fontId="22" fillId="37" borderId="12" xfId="0" applyFont="1" applyFill="1" applyBorder="1" applyAlignment="1">
      <alignment horizontal="center" vertical="center"/>
    </xf>
    <xf numFmtId="0" fontId="24" fillId="36" borderId="24" xfId="0" applyFont="1" applyFill="1" applyBorder="1" applyAlignment="1">
      <alignment horizontal="center" vertical="center"/>
    </xf>
    <xf numFmtId="0" fontId="24" fillId="36" borderId="2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/>
    </xf>
    <xf numFmtId="0" fontId="27" fillId="37" borderId="12" xfId="0" applyFont="1" applyFill="1" applyBorder="1" applyAlignment="1">
      <alignment horizontal="center"/>
    </xf>
    <xf numFmtId="0" fontId="69" fillId="36" borderId="12" xfId="0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69" fillId="42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43" fontId="27" fillId="43" borderId="18" xfId="53" applyFont="1" applyFill="1" applyBorder="1" applyAlignment="1">
      <alignment horizontal="center" vertical="center" wrapText="1"/>
    </xf>
    <xf numFmtId="43" fontId="27" fillId="43" borderId="17" xfId="53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44" fillId="0" borderId="15" xfId="0" applyFont="1" applyBorder="1" applyAlignment="1">
      <alignment horizontal="center"/>
    </xf>
    <xf numFmtId="0" fontId="27" fillId="37" borderId="13" xfId="0" applyFont="1" applyFill="1" applyBorder="1" applyAlignment="1">
      <alignment horizontal="center"/>
    </xf>
    <xf numFmtId="0" fontId="27" fillId="37" borderId="14" xfId="0" applyFont="1" applyFill="1" applyBorder="1" applyAlignment="1">
      <alignment horizontal="center"/>
    </xf>
    <xf numFmtId="0" fontId="27" fillId="37" borderId="15" xfId="0" applyFont="1" applyFill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4" fillId="37" borderId="12" xfId="0" applyFont="1" applyFill="1" applyBorder="1" applyAlignment="1">
      <alignment horizontal="center"/>
    </xf>
    <xf numFmtId="0" fontId="32" fillId="43" borderId="12" xfId="0" applyFont="1" applyFill="1" applyBorder="1" applyAlignment="1">
      <alignment horizontal="center"/>
    </xf>
    <xf numFmtId="43" fontId="24" fillId="43" borderId="12" xfId="53" applyFont="1" applyFill="1" applyBorder="1" applyAlignment="1">
      <alignment horizontal="center" vertical="center" wrapText="1"/>
    </xf>
    <xf numFmtId="1" fontId="22" fillId="0" borderId="12" xfId="0" applyNumberFormat="1" applyFont="1" applyBorder="1" applyAlignment="1">
      <alignment horizontal="center" vertical="center"/>
    </xf>
    <xf numFmtId="0" fontId="31" fillId="0" borderId="1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9" fontId="31" fillId="0" borderId="12" xfId="1" applyFont="1" applyBorder="1" applyAlignment="1">
      <alignment horizontal="center" vertical="center" wrapText="1"/>
    </xf>
    <xf numFmtId="9" fontId="31" fillId="0" borderId="12" xfId="1" applyFont="1" applyBorder="1" applyAlignment="1">
      <alignment vertical="center" wrapText="1"/>
    </xf>
    <xf numFmtId="9" fontId="31" fillId="0" borderId="0" xfId="1" applyFont="1"/>
    <xf numFmtId="4" fontId="31" fillId="0" borderId="12" xfId="1" applyNumberFormat="1" applyFont="1" applyBorder="1" applyAlignment="1">
      <alignment horizontal="center" vertical="center" wrapText="1"/>
    </xf>
  </cellXfs>
  <cellStyles count="54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Moeda" xfId="52" builtinId="4"/>
    <cellStyle name="Neutro" xfId="12" builtinId="28" customBuiltin="1"/>
    <cellStyle name="Normal" xfId="0" builtinId="0"/>
    <cellStyle name="Normal 2" xfId="47" xr:uid="{00000000-0005-0000-0000-000021000000}"/>
    <cellStyle name="Nota" xfId="19" builtinId="10" customBuiltin="1"/>
    <cellStyle name="Porcentagem" xfId="1" builtinId="5"/>
    <cellStyle name="Ruim" xfId="11" builtinId="27" customBuiltin="1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" xfId="53" builtinId="3"/>
    <cellStyle name="Vírgula 2" xfId="2" xr:uid="{00000000-0005-0000-0000-00002E000000}"/>
    <cellStyle name="Vírgula 3" xfId="4" xr:uid="{00000000-0005-0000-0000-00002F000000}"/>
    <cellStyle name="Vírgula 3 2" xfId="50" xr:uid="{00000000-0005-0000-0000-000030000000}"/>
    <cellStyle name="Vírgula 4" xfId="3" xr:uid="{00000000-0005-0000-0000-000031000000}"/>
    <cellStyle name="Vírgula 4 2" xfId="49" xr:uid="{00000000-0005-0000-0000-000032000000}"/>
    <cellStyle name="Vírgula 5" xfId="46" xr:uid="{00000000-0005-0000-0000-000033000000}"/>
    <cellStyle name="Vírgula 5 2" xfId="51" xr:uid="{00000000-0005-0000-0000-000034000000}"/>
    <cellStyle name="Vírgula 6" xfId="48" xr:uid="{00000000-0005-0000-0000-000035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1"/>
  <sheetViews>
    <sheetView showGridLines="0" tabSelected="1" workbookViewId="0">
      <selection activeCell="B30" sqref="B30"/>
    </sheetView>
  </sheetViews>
  <sheetFormatPr defaultColWidth="8.7265625" defaultRowHeight="15.5" x14ac:dyDescent="0.35"/>
  <cols>
    <col min="1" max="1" width="7.453125" style="2" bestFit="1" customWidth="1"/>
    <col min="2" max="2" width="61.453125" style="2" customWidth="1"/>
    <col min="3" max="3" width="23.26953125" style="2" customWidth="1"/>
    <col min="4" max="4" width="22.81640625" style="2" customWidth="1"/>
    <col min="5" max="5" width="15.81640625" style="2" bestFit="1" customWidth="1"/>
    <col min="6" max="7" width="16.54296875" style="2" bestFit="1" customWidth="1"/>
    <col min="8" max="16384" width="8.7265625" style="2"/>
  </cols>
  <sheetData>
    <row r="1" spans="1:6" x14ac:dyDescent="0.35">
      <c r="A1" s="358" t="s">
        <v>402</v>
      </c>
      <c r="B1" s="358"/>
      <c r="C1" s="358"/>
      <c r="D1" s="358"/>
      <c r="E1" s="358"/>
      <c r="F1" s="358"/>
    </row>
    <row r="2" spans="1:6" ht="31" x14ac:dyDescent="0.35">
      <c r="A2" s="3" t="s">
        <v>54</v>
      </c>
      <c r="B2" s="4" t="s">
        <v>57</v>
      </c>
      <c r="C2" s="4" t="s">
        <v>58</v>
      </c>
      <c r="D2" s="4" t="s">
        <v>296</v>
      </c>
      <c r="E2" s="4" t="s">
        <v>87</v>
      </c>
      <c r="F2" s="4" t="s">
        <v>143</v>
      </c>
    </row>
    <row r="3" spans="1:6" x14ac:dyDescent="0.35">
      <c r="A3" s="108">
        <v>1</v>
      </c>
      <c r="B3" s="107" t="s">
        <v>145</v>
      </c>
      <c r="C3" s="246">
        <f>CUIABÁ!C161</f>
        <v>6219.4116710301005</v>
      </c>
      <c r="D3" s="142">
        <v>7</v>
      </c>
      <c r="E3" s="109">
        <f>C3*D3</f>
        <v>43535.881697210702</v>
      </c>
      <c r="F3" s="110">
        <f>24*E3</f>
        <v>1044861.1607330568</v>
      </c>
    </row>
    <row r="4" spans="1:6" x14ac:dyDescent="0.35">
      <c r="A4" s="108">
        <v>2</v>
      </c>
      <c r="B4" s="107" t="s">
        <v>399</v>
      </c>
      <c r="C4" s="246">
        <f>'CUIABÁ LÍDER'!C162</f>
        <v>6890.4322713084348</v>
      </c>
      <c r="D4" s="142">
        <v>1</v>
      </c>
      <c r="E4" s="109">
        <f t="shared" ref="E4:E14" si="0">C4*D4</f>
        <v>6890.4322713084348</v>
      </c>
      <c r="F4" s="110">
        <f t="shared" ref="F4:F17" si="1">24*E4</f>
        <v>165370.37451140245</v>
      </c>
    </row>
    <row r="5" spans="1:6" ht="15.75" customHeight="1" x14ac:dyDescent="0.35">
      <c r="A5" s="108" t="s">
        <v>429</v>
      </c>
      <c r="B5" s="143" t="s">
        <v>144</v>
      </c>
      <c r="C5" s="249"/>
      <c r="D5" s="250">
        <v>24</v>
      </c>
      <c r="E5" s="247">
        <f>'ITENS DE HIGIENE PESSOAL FORA'!G18</f>
        <v>2589.84</v>
      </c>
      <c r="F5" s="248">
        <f t="shared" si="1"/>
        <v>62156.160000000003</v>
      </c>
    </row>
    <row r="6" spans="1:6" x14ac:dyDescent="0.35">
      <c r="A6" s="108">
        <v>7</v>
      </c>
      <c r="B6" s="107" t="s">
        <v>397</v>
      </c>
      <c r="C6" s="246">
        <f>'BASE GISE'!C159</f>
        <v>6164.3615336967687</v>
      </c>
      <c r="D6" s="142">
        <v>1</v>
      </c>
      <c r="E6" s="109">
        <f t="shared" si="0"/>
        <v>6164.3615336967687</v>
      </c>
      <c r="F6" s="110">
        <f t="shared" si="1"/>
        <v>147944.67680872243</v>
      </c>
    </row>
    <row r="7" spans="1:6" ht="15.75" customHeight="1" x14ac:dyDescent="0.35">
      <c r="A7" s="108" t="s">
        <v>430</v>
      </c>
      <c r="B7" s="143" t="s">
        <v>144</v>
      </c>
      <c r="C7" s="249"/>
      <c r="D7" s="250">
        <v>24</v>
      </c>
      <c r="E7" s="247">
        <f>'ITENS DE HIGIENE PESSOAL FORA'!G26</f>
        <v>175.75</v>
      </c>
      <c r="F7" s="248">
        <f t="shared" si="1"/>
        <v>4218</v>
      </c>
    </row>
    <row r="8" spans="1:6" x14ac:dyDescent="0.35">
      <c r="A8" s="108">
        <v>11</v>
      </c>
      <c r="B8" s="107" t="s">
        <v>398</v>
      </c>
      <c r="C8" s="246">
        <f>'POSTO GOIABEIRAS'!C159</f>
        <v>6187.7923678301022</v>
      </c>
      <c r="D8" s="142">
        <v>1</v>
      </c>
      <c r="E8" s="109">
        <f t="shared" si="0"/>
        <v>6187.7923678301022</v>
      </c>
      <c r="F8" s="110">
        <f t="shared" si="1"/>
        <v>148507.01682792246</v>
      </c>
    </row>
    <row r="9" spans="1:6" ht="15.75" customHeight="1" x14ac:dyDescent="0.35">
      <c r="A9" s="108" t="s">
        <v>431</v>
      </c>
      <c r="B9" s="143" t="s">
        <v>144</v>
      </c>
      <c r="C9" s="249"/>
      <c r="D9" s="250">
        <v>24</v>
      </c>
      <c r="E9" s="247">
        <f>'ITENS DE HIGIENE PESSOAL FORA'!G34</f>
        <v>175.75</v>
      </c>
      <c r="F9" s="248">
        <f t="shared" si="1"/>
        <v>4218</v>
      </c>
    </row>
    <row r="10" spans="1:6" x14ac:dyDescent="0.35">
      <c r="A10" s="108">
        <v>15</v>
      </c>
      <c r="B10" s="107" t="s">
        <v>297</v>
      </c>
      <c r="C10" s="246">
        <f>CÁCERES!C160</f>
        <v>6196.388741163436</v>
      </c>
      <c r="D10" s="142">
        <v>3</v>
      </c>
      <c r="E10" s="109">
        <f t="shared" si="0"/>
        <v>18589.166223490309</v>
      </c>
      <c r="F10" s="110">
        <f t="shared" si="1"/>
        <v>446139.98936376744</v>
      </c>
    </row>
    <row r="11" spans="1:6" ht="15.75" customHeight="1" x14ac:dyDescent="0.35">
      <c r="A11" s="108" t="s">
        <v>432</v>
      </c>
      <c r="B11" s="143" t="s">
        <v>144</v>
      </c>
      <c r="C11" s="249"/>
      <c r="D11" s="250">
        <v>24</v>
      </c>
      <c r="E11" s="247">
        <f>'ITENS DE HIGIENE PESSOAL FORA'!G42</f>
        <v>690.24000000000012</v>
      </c>
      <c r="F11" s="248">
        <f t="shared" si="1"/>
        <v>16565.760000000002</v>
      </c>
    </row>
    <row r="12" spans="1:6" x14ac:dyDescent="0.35">
      <c r="A12" s="108">
        <v>19</v>
      </c>
      <c r="B12" s="107" t="s">
        <v>298</v>
      </c>
      <c r="C12" s="246">
        <f>RONDONÓPOLIS!C160</f>
        <v>5891.0267160967687</v>
      </c>
      <c r="D12" s="142">
        <v>3</v>
      </c>
      <c r="E12" s="109">
        <f t="shared" si="0"/>
        <v>17673.080148290304</v>
      </c>
      <c r="F12" s="110">
        <f t="shared" si="1"/>
        <v>424153.9235589673</v>
      </c>
    </row>
    <row r="13" spans="1:6" ht="15.75" customHeight="1" x14ac:dyDescent="0.35">
      <c r="A13" s="108" t="s">
        <v>433</v>
      </c>
      <c r="B13" s="143" t="s">
        <v>144</v>
      </c>
      <c r="C13" s="249"/>
      <c r="D13" s="250">
        <v>24</v>
      </c>
      <c r="E13" s="247">
        <f>'ITENS DE HIGIENE PESSOAL FORA'!G50</f>
        <v>405.83</v>
      </c>
      <c r="F13" s="248">
        <f t="shared" si="1"/>
        <v>9739.92</v>
      </c>
    </row>
    <row r="14" spans="1:6" x14ac:dyDescent="0.35">
      <c r="A14" s="108">
        <v>23</v>
      </c>
      <c r="B14" s="107" t="s">
        <v>299</v>
      </c>
      <c r="C14" s="246">
        <f>SINOP!C160</f>
        <v>5895.4723539209026</v>
      </c>
      <c r="D14" s="142">
        <v>2</v>
      </c>
      <c r="E14" s="109">
        <f t="shared" si="0"/>
        <v>11790.944707841805</v>
      </c>
      <c r="F14" s="110">
        <f t="shared" si="1"/>
        <v>282982.67298820335</v>
      </c>
    </row>
    <row r="15" spans="1:6" ht="15.75" customHeight="1" x14ac:dyDescent="0.35">
      <c r="A15" s="108" t="s">
        <v>434</v>
      </c>
      <c r="B15" s="143" t="s">
        <v>144</v>
      </c>
      <c r="C15" s="249"/>
      <c r="D15" s="250">
        <v>24</v>
      </c>
      <c r="E15" s="247">
        <f>'ITENS DE HIGIENE PESSOAL FORA'!G58</f>
        <v>405.83</v>
      </c>
      <c r="F15" s="248">
        <f t="shared" si="1"/>
        <v>9739.92</v>
      </c>
    </row>
    <row r="16" spans="1:6" x14ac:dyDescent="0.35">
      <c r="A16" s="108">
        <v>27</v>
      </c>
      <c r="B16" s="107" t="s">
        <v>300</v>
      </c>
      <c r="C16" s="246">
        <f>BRG!C160</f>
        <v>6145.3806167783678</v>
      </c>
      <c r="D16" s="142">
        <v>2</v>
      </c>
      <c r="E16" s="109">
        <f>C16*D16</f>
        <v>12290.761233556736</v>
      </c>
      <c r="F16" s="110">
        <f t="shared" si="1"/>
        <v>294978.26960536162</v>
      </c>
    </row>
    <row r="17" spans="1:6" ht="15.75" customHeight="1" x14ac:dyDescent="0.35">
      <c r="A17" s="108" t="s">
        <v>435</v>
      </c>
      <c r="B17" s="143" t="s">
        <v>144</v>
      </c>
      <c r="C17" s="249"/>
      <c r="D17" s="250">
        <v>24</v>
      </c>
      <c r="E17" s="247">
        <f>'ITENS DE HIGIENE PESSOAL FORA'!G66</f>
        <v>460.16</v>
      </c>
      <c r="F17" s="248">
        <f t="shared" si="1"/>
        <v>11043.84</v>
      </c>
    </row>
    <row r="18" spans="1:6" x14ac:dyDescent="0.35">
      <c r="A18" s="108">
        <v>31</v>
      </c>
      <c r="B18" s="107" t="s">
        <v>405</v>
      </c>
      <c r="C18" s="246">
        <f>'PONTES E LACERDA'!C160</f>
        <v>5983.4910862301022</v>
      </c>
      <c r="D18" s="142">
        <v>1</v>
      </c>
      <c r="E18" s="325">
        <f t="shared" ref="E18" si="2">C18*D18</f>
        <v>5983.4910862301022</v>
      </c>
      <c r="F18" s="110">
        <f t="shared" ref="F18:F19" si="3">24*E18</f>
        <v>143603.78606952244</v>
      </c>
    </row>
    <row r="19" spans="1:6" ht="15.75" customHeight="1" x14ac:dyDescent="0.35">
      <c r="A19" s="108" t="s">
        <v>436</v>
      </c>
      <c r="B19" s="143" t="s">
        <v>144</v>
      </c>
      <c r="C19" s="249"/>
      <c r="D19" s="250">
        <v>24</v>
      </c>
      <c r="E19" s="247">
        <f>'ITENS DE HIGIENE PESSOAL FORA'!G74</f>
        <v>175.75</v>
      </c>
      <c r="F19" s="248">
        <f t="shared" si="3"/>
        <v>4218</v>
      </c>
    </row>
    <row r="20" spans="1:6" x14ac:dyDescent="0.35">
      <c r="A20" s="359" t="s">
        <v>261</v>
      </c>
      <c r="B20" s="360"/>
      <c r="C20" s="360"/>
      <c r="D20" s="360"/>
      <c r="E20" s="361"/>
      <c r="F20" s="111">
        <f>SUM(F3:F19)</f>
        <v>3220441.4704669267</v>
      </c>
    </row>
    <row r="21" spans="1:6" x14ac:dyDescent="0.35">
      <c r="E21" s="251"/>
    </row>
  </sheetData>
  <mergeCells count="2">
    <mergeCell ref="A1:F1"/>
    <mergeCell ref="A20:E20"/>
  </mergeCells>
  <pageMargins left="0.511811024" right="0.511811024" top="0.78740157499999996" bottom="0.78740157499999996" header="0.31496062000000002" footer="0.31496062000000002"/>
  <pageSetup paperSize="9" scale="8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65"/>
  <sheetViews>
    <sheetView showGridLines="0" topLeftCell="A116" zoomScaleNormal="100" workbookViewId="0">
      <selection activeCell="D115" sqref="D115:D118"/>
    </sheetView>
  </sheetViews>
  <sheetFormatPr defaultColWidth="9.1796875" defaultRowHeight="13" x14ac:dyDescent="0.3"/>
  <cols>
    <col min="1" max="1" width="17.26953125" style="5" bestFit="1" customWidth="1"/>
    <col min="2" max="2" width="72.1796875" style="5" customWidth="1"/>
    <col min="3" max="3" width="20.26953125" style="5" bestFit="1" customWidth="1"/>
    <col min="4" max="4" width="15.26953125" style="5" bestFit="1" customWidth="1"/>
    <col min="5" max="5" width="14.7265625" style="5" customWidth="1"/>
    <col min="6" max="6" width="12" style="5" customWidth="1"/>
    <col min="7" max="7" width="15.1796875" style="5" customWidth="1"/>
    <col min="8" max="16384" width="9.1796875" style="5"/>
  </cols>
  <sheetData>
    <row r="1" spans="1:3" x14ac:dyDescent="0.3">
      <c r="A1" s="366" t="s">
        <v>59</v>
      </c>
      <c r="B1" s="366"/>
      <c r="C1" s="366"/>
    </row>
    <row r="2" spans="1:3" x14ac:dyDescent="0.3">
      <c r="A2" s="367" t="s">
        <v>146</v>
      </c>
      <c r="B2" s="367"/>
      <c r="C2" s="367"/>
    </row>
    <row r="3" spans="1:3" x14ac:dyDescent="0.3">
      <c r="A3" s="37"/>
      <c r="B3" s="37"/>
      <c r="C3" s="37"/>
    </row>
    <row r="4" spans="1:3" x14ac:dyDescent="0.3">
      <c r="A4" s="368" t="s">
        <v>420</v>
      </c>
      <c r="B4" s="368"/>
      <c r="C4" s="368"/>
    </row>
    <row r="5" spans="1:3" x14ac:dyDescent="0.3">
      <c r="A5" s="369" t="s">
        <v>147</v>
      </c>
      <c r="B5" s="369"/>
      <c r="C5" s="369"/>
    </row>
    <row r="6" spans="1:3" x14ac:dyDescent="0.3">
      <c r="A6" s="370" t="s">
        <v>148</v>
      </c>
      <c r="B6" s="370"/>
      <c r="C6" s="370"/>
    </row>
    <row r="10" spans="1:3" x14ac:dyDescent="0.3">
      <c r="A10" s="362" t="s">
        <v>60</v>
      </c>
      <c r="B10" s="362"/>
      <c r="C10" s="362"/>
    </row>
    <row r="11" spans="1:3" x14ac:dyDescent="0.3">
      <c r="A11" s="14" t="s">
        <v>9</v>
      </c>
      <c r="B11" s="13" t="s">
        <v>61</v>
      </c>
      <c r="C11" s="6" t="s">
        <v>149</v>
      </c>
    </row>
    <row r="12" spans="1:3" x14ac:dyDescent="0.3">
      <c r="A12" s="14" t="s">
        <v>10</v>
      </c>
      <c r="B12" s="13" t="s">
        <v>62</v>
      </c>
      <c r="C12" s="7" t="s">
        <v>391</v>
      </c>
    </row>
    <row r="13" spans="1:3" ht="15.65" customHeight="1" x14ac:dyDescent="0.3">
      <c r="A13" s="14" t="s">
        <v>11</v>
      </c>
      <c r="B13" s="13" t="s">
        <v>63</v>
      </c>
      <c r="C13" s="21" t="s">
        <v>151</v>
      </c>
    </row>
    <row r="14" spans="1:3" x14ac:dyDescent="0.3">
      <c r="A14" s="14" t="s">
        <v>12</v>
      </c>
      <c r="B14" s="13" t="s">
        <v>64</v>
      </c>
      <c r="C14" s="8">
        <v>12</v>
      </c>
    </row>
    <row r="17" spans="1:4" x14ac:dyDescent="0.3">
      <c r="A17" s="68" t="s">
        <v>110</v>
      </c>
      <c r="B17" s="68" t="s">
        <v>111</v>
      </c>
      <c r="C17" s="68" t="s">
        <v>112</v>
      </c>
    </row>
    <row r="18" spans="1:4" x14ac:dyDescent="0.3">
      <c r="A18" s="363" t="s">
        <v>113</v>
      </c>
      <c r="B18" s="69" t="s">
        <v>114</v>
      </c>
      <c r="C18" s="70">
        <v>1049.3499999999999</v>
      </c>
    </row>
    <row r="19" spans="1:4" x14ac:dyDescent="0.3">
      <c r="A19" s="363"/>
      <c r="B19" s="71" t="s">
        <v>115</v>
      </c>
      <c r="C19" s="72">
        <v>132.86000000000001</v>
      </c>
    </row>
    <row r="20" spans="1:4" x14ac:dyDescent="0.3">
      <c r="A20" s="363"/>
      <c r="B20" s="71" t="s">
        <v>116</v>
      </c>
      <c r="C20" s="72">
        <v>20.94</v>
      </c>
    </row>
    <row r="21" spans="1:4" x14ac:dyDescent="0.3">
      <c r="A21" s="364"/>
      <c r="B21" s="364"/>
      <c r="C21" s="74">
        <f>SUM(C18:C20)</f>
        <v>1203.1500000000001</v>
      </c>
    </row>
    <row r="24" spans="1:4" x14ac:dyDescent="0.3">
      <c r="A24" s="365" t="s">
        <v>118</v>
      </c>
      <c r="B24" s="365"/>
      <c r="C24" s="365"/>
    </row>
    <row r="25" spans="1:4" ht="36" x14ac:dyDescent="0.3">
      <c r="A25" s="75" t="s">
        <v>110</v>
      </c>
      <c r="B25" s="75" t="s">
        <v>119</v>
      </c>
      <c r="C25" s="76" t="s">
        <v>120</v>
      </c>
    </row>
    <row r="26" spans="1:4" x14ac:dyDescent="0.3">
      <c r="A26" s="77" t="s">
        <v>121</v>
      </c>
      <c r="B26" s="78" t="s">
        <v>122</v>
      </c>
      <c r="C26" s="79">
        <f>C21</f>
        <v>1203.1500000000001</v>
      </c>
    </row>
    <row r="28" spans="1:4" ht="15" customHeight="1" x14ac:dyDescent="0.3"/>
    <row r="29" spans="1:4" ht="15" customHeight="1" x14ac:dyDescent="0.3">
      <c r="A29" s="362" t="s">
        <v>65</v>
      </c>
      <c r="B29" s="362"/>
      <c r="C29" s="362"/>
    </row>
    <row r="30" spans="1:4" ht="15" customHeight="1" x14ac:dyDescent="0.3">
      <c r="A30" s="14">
        <v>1</v>
      </c>
      <c r="B30" s="10" t="s">
        <v>66</v>
      </c>
      <c r="C30" s="44" t="s">
        <v>123</v>
      </c>
    </row>
    <row r="31" spans="1:4" ht="15" customHeight="1" x14ac:dyDescent="0.3">
      <c r="A31" s="14">
        <v>2</v>
      </c>
      <c r="B31" s="10" t="s">
        <v>67</v>
      </c>
      <c r="C31" s="22" t="s">
        <v>124</v>
      </c>
    </row>
    <row r="32" spans="1:4" ht="15" customHeight="1" x14ac:dyDescent="0.3">
      <c r="A32" s="14">
        <v>3</v>
      </c>
      <c r="B32" s="11" t="s">
        <v>153</v>
      </c>
      <c r="C32" s="23">
        <v>1403.85</v>
      </c>
      <c r="D32" s="51"/>
    </row>
    <row r="33" spans="1:3" ht="15" customHeight="1" x14ac:dyDescent="0.3">
      <c r="A33" s="14">
        <v>4</v>
      </c>
      <c r="B33" s="10" t="s">
        <v>68</v>
      </c>
      <c r="C33" s="9" t="s">
        <v>154</v>
      </c>
    </row>
    <row r="34" spans="1:3" ht="15" customHeight="1" x14ac:dyDescent="0.3">
      <c r="A34" s="14">
        <v>5</v>
      </c>
      <c r="B34" s="10" t="s">
        <v>69</v>
      </c>
      <c r="C34" s="12">
        <v>44927</v>
      </c>
    </row>
    <row r="37" spans="1:3" ht="13.5" thickBot="1" x14ac:dyDescent="0.35"/>
    <row r="38" spans="1:3" ht="16" thickBot="1" x14ac:dyDescent="0.35">
      <c r="A38" s="387" t="s">
        <v>6</v>
      </c>
      <c r="B38" s="388"/>
      <c r="C38" s="389"/>
    </row>
    <row r="40" spans="1:3" x14ac:dyDescent="0.3">
      <c r="A40" s="39">
        <v>1</v>
      </c>
      <c r="B40" s="39" t="s">
        <v>7</v>
      </c>
      <c r="C40" s="39" t="s">
        <v>8</v>
      </c>
    </row>
    <row r="41" spans="1:3" x14ac:dyDescent="0.3">
      <c r="A41" s="14" t="s">
        <v>9</v>
      </c>
      <c r="B41" s="25" t="s">
        <v>156</v>
      </c>
      <c r="C41" s="52">
        <f>C32</f>
        <v>1403.85</v>
      </c>
    </row>
    <row r="42" spans="1:3" ht="26" x14ac:dyDescent="0.3">
      <c r="A42" s="14" t="s">
        <v>10</v>
      </c>
      <c r="B42" s="25" t="s">
        <v>437</v>
      </c>
      <c r="C42" s="112">
        <f>(1412/100)*30</f>
        <v>423.59999999999997</v>
      </c>
    </row>
    <row r="43" spans="1:3" x14ac:dyDescent="0.3">
      <c r="A43" s="14" t="s">
        <v>11</v>
      </c>
      <c r="B43" s="25" t="s">
        <v>157</v>
      </c>
      <c r="C43" s="52">
        <v>54.31</v>
      </c>
    </row>
    <row r="44" spans="1:3" x14ac:dyDescent="0.3">
      <c r="A44" s="392" t="s">
        <v>0</v>
      </c>
      <c r="B44" s="393"/>
      <c r="C44" s="54">
        <f>SUM(C41:C43)</f>
        <v>1881.7599999999998</v>
      </c>
    </row>
    <row r="47" spans="1:3" x14ac:dyDescent="0.3">
      <c r="A47" s="394" t="s">
        <v>16</v>
      </c>
      <c r="B47" s="394"/>
      <c r="C47" s="394"/>
    </row>
    <row r="48" spans="1:3" x14ac:dyDescent="0.3">
      <c r="A48" s="15"/>
    </row>
    <row r="49" spans="1:5" x14ac:dyDescent="0.3">
      <c r="A49" s="390" t="s">
        <v>17</v>
      </c>
      <c r="B49" s="390"/>
      <c r="C49" s="390"/>
    </row>
    <row r="51" spans="1:5" x14ac:dyDescent="0.3">
      <c r="A51" s="39" t="s">
        <v>18</v>
      </c>
      <c r="B51" s="39" t="s">
        <v>19</v>
      </c>
      <c r="C51" s="39" t="s">
        <v>8</v>
      </c>
    </row>
    <row r="52" spans="1:5" x14ac:dyDescent="0.3">
      <c r="A52" s="14" t="s">
        <v>9</v>
      </c>
      <c r="B52" s="25" t="s">
        <v>84</v>
      </c>
      <c r="C52" s="52">
        <f>C44/12</f>
        <v>156.8133333333333</v>
      </c>
    </row>
    <row r="53" spans="1:5" x14ac:dyDescent="0.3">
      <c r="A53" s="14" t="s">
        <v>10</v>
      </c>
      <c r="B53" s="25" t="s">
        <v>85</v>
      </c>
      <c r="C53" s="52">
        <f>(C44/100)*12.1</f>
        <v>227.69295999999997</v>
      </c>
    </row>
    <row r="54" spans="1:5" x14ac:dyDescent="0.3">
      <c r="A54" s="374" t="s">
        <v>0</v>
      </c>
      <c r="B54" s="374"/>
      <c r="C54" s="54">
        <f>SUM(C52:C53)</f>
        <v>384.50629333333325</v>
      </c>
    </row>
    <row r="57" spans="1:5" ht="32.25" customHeight="1" x14ac:dyDescent="0.3">
      <c r="A57" s="396" t="s">
        <v>20</v>
      </c>
      <c r="B57" s="396"/>
      <c r="C57" s="396"/>
      <c r="D57" s="396"/>
    </row>
    <row r="59" spans="1:5" x14ac:dyDescent="0.3">
      <c r="A59" s="39" t="s">
        <v>21</v>
      </c>
      <c r="B59" s="39" t="s">
        <v>22</v>
      </c>
      <c r="C59" s="39" t="s">
        <v>23</v>
      </c>
      <c r="D59" s="39" t="s">
        <v>8</v>
      </c>
    </row>
    <row r="60" spans="1:5" x14ac:dyDescent="0.3">
      <c r="A60" s="14" t="s">
        <v>9</v>
      </c>
      <c r="B60" s="25" t="s">
        <v>88</v>
      </c>
      <c r="C60" s="33">
        <v>0.2</v>
      </c>
      <c r="D60" s="52">
        <f>(C44+C54)*C60</f>
        <v>453.25325866666662</v>
      </c>
    </row>
    <row r="61" spans="1:5" x14ac:dyDescent="0.3">
      <c r="A61" s="14" t="s">
        <v>10</v>
      </c>
      <c r="B61" s="25" t="s">
        <v>94</v>
      </c>
      <c r="C61" s="33">
        <v>2.5000000000000001E-2</v>
      </c>
      <c r="D61" s="52">
        <f>(C44+C54)*C61</f>
        <v>56.656657333333328</v>
      </c>
    </row>
    <row r="62" spans="1:5" x14ac:dyDescent="0.3">
      <c r="A62" s="14" t="s">
        <v>11</v>
      </c>
      <c r="B62" s="25" t="s">
        <v>93</v>
      </c>
      <c r="C62" s="34">
        <v>0.03</v>
      </c>
      <c r="D62" s="52">
        <f>(C44+C54)*C62</f>
        <v>67.987988799999997</v>
      </c>
      <c r="E62" s="38" t="s">
        <v>73</v>
      </c>
    </row>
    <row r="63" spans="1:5" x14ac:dyDescent="0.3">
      <c r="A63" s="14" t="s">
        <v>12</v>
      </c>
      <c r="B63" s="25" t="s">
        <v>89</v>
      </c>
      <c r="C63" s="33">
        <v>1.4999999999999999E-2</v>
      </c>
      <c r="D63" s="52">
        <f>(C44+C54)*C63</f>
        <v>33.993994399999998</v>
      </c>
    </row>
    <row r="64" spans="1:5" x14ac:dyDescent="0.3">
      <c r="A64" s="14" t="s">
        <v>13</v>
      </c>
      <c r="B64" s="25" t="s">
        <v>90</v>
      </c>
      <c r="C64" s="33">
        <v>0.01</v>
      </c>
      <c r="D64" s="52">
        <f>(C44+C54)*C64</f>
        <v>22.662662933333333</v>
      </c>
    </row>
    <row r="65" spans="1:5" x14ac:dyDescent="0.3">
      <c r="A65" s="14" t="s">
        <v>14</v>
      </c>
      <c r="B65" s="25" t="s">
        <v>91</v>
      </c>
      <c r="C65" s="33">
        <v>6.0000000000000001E-3</v>
      </c>
      <c r="D65" s="52">
        <f>(C44+C44)*C65</f>
        <v>22.581119999999999</v>
      </c>
    </row>
    <row r="66" spans="1:5" x14ac:dyDescent="0.3">
      <c r="A66" s="14" t="s">
        <v>15</v>
      </c>
      <c r="B66" s="25" t="s">
        <v>92</v>
      </c>
      <c r="C66" s="33">
        <v>2E-3</v>
      </c>
      <c r="D66" s="52">
        <f>(C44+C54)*C66</f>
        <v>4.5325325866666661</v>
      </c>
    </row>
    <row r="67" spans="1:5" x14ac:dyDescent="0.3">
      <c r="A67" s="397" t="s">
        <v>50</v>
      </c>
      <c r="B67" s="397"/>
      <c r="C67" s="35">
        <f>SUM(C60:C66)</f>
        <v>0.28800000000000003</v>
      </c>
      <c r="D67" s="53">
        <f>SUM(D60:D66)</f>
        <v>661.66821472000004</v>
      </c>
    </row>
    <row r="68" spans="1:5" x14ac:dyDescent="0.3">
      <c r="A68" s="14" t="s">
        <v>24</v>
      </c>
      <c r="B68" s="25" t="s">
        <v>95</v>
      </c>
      <c r="C68" s="33">
        <v>0.08</v>
      </c>
      <c r="D68" s="52">
        <f>(C44+C54)*C68</f>
        <v>181.30130346666667</v>
      </c>
    </row>
    <row r="69" spans="1:5" x14ac:dyDescent="0.3">
      <c r="A69" s="374" t="s">
        <v>25</v>
      </c>
      <c r="B69" s="374"/>
      <c r="C69" s="36">
        <f>SUM(C67:C68)</f>
        <v>0.36800000000000005</v>
      </c>
      <c r="D69" s="54">
        <f>SUM(D67:D68)</f>
        <v>842.96951818666673</v>
      </c>
    </row>
    <row r="72" spans="1:5" x14ac:dyDescent="0.3">
      <c r="A72" s="390" t="s">
        <v>26</v>
      </c>
      <c r="B72" s="390"/>
      <c r="C72" s="390"/>
    </row>
    <row r="74" spans="1:5" x14ac:dyDescent="0.3">
      <c r="A74" s="39" t="s">
        <v>27</v>
      </c>
      <c r="B74" s="39" t="s">
        <v>28</v>
      </c>
      <c r="C74" s="39" t="s">
        <v>8</v>
      </c>
    </row>
    <row r="75" spans="1:5" x14ac:dyDescent="0.3">
      <c r="A75" s="14" t="s">
        <v>9</v>
      </c>
      <c r="B75" s="25" t="s">
        <v>390</v>
      </c>
      <c r="C75" s="64">
        <v>0</v>
      </c>
      <c r="D75" s="20"/>
      <c r="E75" s="20"/>
    </row>
    <row r="76" spans="1:5" x14ac:dyDescent="0.3">
      <c r="A76" s="14" t="s">
        <v>10</v>
      </c>
      <c r="B76" s="25" t="s">
        <v>159</v>
      </c>
      <c r="C76" s="52">
        <f>(19.9*22)-(437.8/100)*5</f>
        <v>415.90999999999997</v>
      </c>
      <c r="D76" s="17"/>
    </row>
    <row r="77" spans="1:5" x14ac:dyDescent="0.3">
      <c r="A77" s="14" t="s">
        <v>11</v>
      </c>
      <c r="B77" s="1" t="s">
        <v>158</v>
      </c>
      <c r="C77" s="83">
        <v>49</v>
      </c>
    </row>
    <row r="78" spans="1:5" x14ac:dyDescent="0.3">
      <c r="A78" s="14" t="s">
        <v>12</v>
      </c>
      <c r="B78" s="25" t="s">
        <v>155</v>
      </c>
      <c r="C78" s="52">
        <v>140.61000000000001</v>
      </c>
    </row>
    <row r="79" spans="1:5" x14ac:dyDescent="0.3">
      <c r="A79" s="374" t="s">
        <v>0</v>
      </c>
      <c r="B79" s="374"/>
      <c r="C79" s="54">
        <f>SUM(C75:C78)</f>
        <v>605.52</v>
      </c>
    </row>
    <row r="82" spans="1:3" x14ac:dyDescent="0.3">
      <c r="A82" s="390" t="s">
        <v>29</v>
      </c>
      <c r="B82" s="390"/>
      <c r="C82" s="390"/>
    </row>
    <row r="84" spans="1:3" x14ac:dyDescent="0.3">
      <c r="A84" s="39">
        <v>2</v>
      </c>
      <c r="B84" s="39" t="s">
        <v>30</v>
      </c>
      <c r="C84" s="39" t="s">
        <v>8</v>
      </c>
    </row>
    <row r="85" spans="1:3" x14ac:dyDescent="0.3">
      <c r="A85" s="14" t="s">
        <v>18</v>
      </c>
      <c r="B85" s="25" t="s">
        <v>19</v>
      </c>
      <c r="C85" s="55">
        <f>C54</f>
        <v>384.50629333333325</v>
      </c>
    </row>
    <row r="86" spans="1:3" x14ac:dyDescent="0.3">
      <c r="A86" s="14" t="s">
        <v>21</v>
      </c>
      <c r="B86" s="25" t="s">
        <v>22</v>
      </c>
      <c r="C86" s="55">
        <f>D69</f>
        <v>842.96951818666673</v>
      </c>
    </row>
    <row r="87" spans="1:3" x14ac:dyDescent="0.3">
      <c r="A87" s="14" t="s">
        <v>27</v>
      </c>
      <c r="B87" s="25" t="s">
        <v>28</v>
      </c>
      <c r="C87" s="55">
        <f>C79</f>
        <v>605.52</v>
      </c>
    </row>
    <row r="88" spans="1:3" x14ac:dyDescent="0.3">
      <c r="A88" s="374" t="s">
        <v>0</v>
      </c>
      <c r="B88" s="374"/>
      <c r="C88" s="56">
        <f>SUM(C85:C87)</f>
        <v>1832.99581152</v>
      </c>
    </row>
    <row r="89" spans="1:3" x14ac:dyDescent="0.3">
      <c r="A89" s="16"/>
    </row>
    <row r="90" spans="1:3" ht="13.5" thickBot="1" x14ac:dyDescent="0.35"/>
    <row r="91" spans="1:3" ht="13.5" thickBot="1" x14ac:dyDescent="0.35">
      <c r="A91" s="398" t="s">
        <v>31</v>
      </c>
      <c r="B91" s="399"/>
      <c r="C91" s="400"/>
    </row>
    <row r="93" spans="1:3" x14ac:dyDescent="0.3">
      <c r="A93" s="39">
        <v>3</v>
      </c>
      <c r="B93" s="39" t="s">
        <v>32</v>
      </c>
      <c r="C93" s="39" t="s">
        <v>8</v>
      </c>
    </row>
    <row r="94" spans="1:3" x14ac:dyDescent="0.3">
      <c r="A94" s="14" t="s">
        <v>9</v>
      </c>
      <c r="B94" s="31" t="s">
        <v>71</v>
      </c>
      <c r="C94" s="52">
        <f>(C44/100)*1.81</f>
        <v>34.059855999999996</v>
      </c>
    </row>
    <row r="95" spans="1:3" x14ac:dyDescent="0.3">
      <c r="A95" s="14" t="s">
        <v>10</v>
      </c>
      <c r="B95" s="31" t="s">
        <v>72</v>
      </c>
      <c r="C95" s="52">
        <f>(C44/100)*0.14</f>
        <v>2.6344639999999999</v>
      </c>
    </row>
    <row r="96" spans="1:3" ht="26" x14ac:dyDescent="0.3">
      <c r="A96" s="14" t="s">
        <v>11</v>
      </c>
      <c r="B96" s="31" t="s">
        <v>75</v>
      </c>
      <c r="C96" s="52">
        <f>(C44/100)*4.05</f>
        <v>76.211279999999988</v>
      </c>
    </row>
    <row r="97" spans="1:4" x14ac:dyDescent="0.3">
      <c r="A97" s="401" t="s">
        <v>51</v>
      </c>
      <c r="B97" s="402"/>
      <c r="C97" s="54">
        <f>SUM(C94:C96)</f>
        <v>112.90559999999999</v>
      </c>
    </row>
    <row r="98" spans="1:4" ht="32.15" customHeight="1" x14ac:dyDescent="0.3">
      <c r="A98" s="14" t="s">
        <v>12</v>
      </c>
      <c r="B98" s="32" t="s">
        <v>76</v>
      </c>
      <c r="C98" s="57">
        <f>(C44/100)*0.194</f>
        <v>3.6506143999999998</v>
      </c>
    </row>
    <row r="99" spans="1:4" ht="26" x14ac:dyDescent="0.3">
      <c r="A99" s="14" t="s">
        <v>13</v>
      </c>
      <c r="B99" s="67" t="s">
        <v>77</v>
      </c>
      <c r="C99" s="57">
        <f>(C44/100)*0.7</f>
        <v>13.172319999999999</v>
      </c>
      <c r="D99" s="45"/>
    </row>
    <row r="100" spans="1:4" ht="26" x14ac:dyDescent="0.3">
      <c r="A100" s="42" t="s">
        <v>14</v>
      </c>
      <c r="B100" s="46" t="s">
        <v>78</v>
      </c>
      <c r="C100" s="66">
        <f>(C44/100)*0.45</f>
        <v>8.4679199999999994</v>
      </c>
    </row>
    <row r="101" spans="1:4" x14ac:dyDescent="0.3">
      <c r="A101" s="401" t="s">
        <v>52</v>
      </c>
      <c r="B101" s="403"/>
      <c r="C101" s="54">
        <f>SUM(C98:C100)</f>
        <v>25.290854399999997</v>
      </c>
    </row>
    <row r="102" spans="1:4" x14ac:dyDescent="0.3">
      <c r="A102" s="395" t="s">
        <v>53</v>
      </c>
      <c r="B102" s="395"/>
      <c r="C102" s="65">
        <f>C97+C101</f>
        <v>138.19645439999999</v>
      </c>
    </row>
    <row r="104" spans="1:4" ht="13.5" thickBot="1" x14ac:dyDescent="0.35"/>
    <row r="105" spans="1:4" ht="16" thickBot="1" x14ac:dyDescent="0.35">
      <c r="A105" s="387" t="s">
        <v>33</v>
      </c>
      <c r="B105" s="388"/>
      <c r="C105" s="389"/>
    </row>
    <row r="107" spans="1:4" x14ac:dyDescent="0.3">
      <c r="A107" s="390" t="s">
        <v>34</v>
      </c>
      <c r="B107" s="390"/>
      <c r="C107" s="390"/>
    </row>
    <row r="108" spans="1:4" x14ac:dyDescent="0.3">
      <c r="A108" s="15"/>
    </row>
    <row r="109" spans="1:4" x14ac:dyDescent="0.3">
      <c r="A109" s="39" t="s">
        <v>35</v>
      </c>
      <c r="B109" s="43" t="s">
        <v>36</v>
      </c>
      <c r="C109" s="39" t="s">
        <v>8</v>
      </c>
    </row>
    <row r="110" spans="1:4" ht="26" x14ac:dyDescent="0.3">
      <c r="A110" s="42" t="s">
        <v>9</v>
      </c>
      <c r="B110" s="46" t="s">
        <v>79</v>
      </c>
      <c r="C110" s="58">
        <f>(C44/100)*0.95</f>
        <v>17.876719999999999</v>
      </c>
      <c r="D110" s="20"/>
    </row>
    <row r="111" spans="1:4" ht="26" x14ac:dyDescent="0.3">
      <c r="A111" s="42" t="s">
        <v>10</v>
      </c>
      <c r="B111" s="46" t="s">
        <v>80</v>
      </c>
      <c r="C111" s="58">
        <f>(C44/100)*4.17</f>
        <v>78.469391999999999</v>
      </c>
      <c r="D111" s="19"/>
    </row>
    <row r="112" spans="1:4" x14ac:dyDescent="0.3">
      <c r="A112" s="42" t="s">
        <v>11</v>
      </c>
      <c r="B112" s="47" t="s">
        <v>81</v>
      </c>
      <c r="C112" s="58">
        <f>(C44/100)*0.1</f>
        <v>1.8817599999999999</v>
      </c>
    </row>
    <row r="113" spans="1:3" ht="26" x14ac:dyDescent="0.3">
      <c r="A113" s="42" t="s">
        <v>12</v>
      </c>
      <c r="B113" s="47" t="s">
        <v>82</v>
      </c>
      <c r="C113" s="58">
        <f>(C44/100)*0.63</f>
        <v>11.855087999999999</v>
      </c>
    </row>
    <row r="114" spans="1:3" ht="26" x14ac:dyDescent="0.3">
      <c r="A114" s="42" t="s">
        <v>13</v>
      </c>
      <c r="B114" s="47" t="s">
        <v>83</v>
      </c>
      <c r="C114" s="58">
        <f>(C44/100)*0.02</f>
        <v>0.37635199999999996</v>
      </c>
    </row>
    <row r="115" spans="1:3" ht="26" x14ac:dyDescent="0.3">
      <c r="A115" s="42" t="s">
        <v>14</v>
      </c>
      <c r="B115" s="47" t="s">
        <v>96</v>
      </c>
      <c r="C115" s="58">
        <f>(C44/100)*9.68</f>
        <v>182.15436799999998</v>
      </c>
    </row>
    <row r="116" spans="1:3" x14ac:dyDescent="0.3">
      <c r="A116" s="374" t="s">
        <v>25</v>
      </c>
      <c r="B116" s="391"/>
      <c r="C116" s="56">
        <f>SUM(C110:C115)</f>
        <v>292.61367999999999</v>
      </c>
    </row>
    <row r="119" spans="1:3" x14ac:dyDescent="0.3">
      <c r="A119" s="390" t="s">
        <v>37</v>
      </c>
      <c r="B119" s="390"/>
      <c r="C119" s="390"/>
    </row>
    <row r="120" spans="1:3" x14ac:dyDescent="0.3">
      <c r="A120" s="15"/>
    </row>
    <row r="121" spans="1:3" x14ac:dyDescent="0.3">
      <c r="A121" s="39">
        <v>4</v>
      </c>
      <c r="B121" s="40" t="s">
        <v>38</v>
      </c>
      <c r="C121" s="39" t="s">
        <v>8</v>
      </c>
    </row>
    <row r="122" spans="1:3" x14ac:dyDescent="0.3">
      <c r="A122" s="14" t="s">
        <v>35</v>
      </c>
      <c r="B122" s="25" t="s">
        <v>36</v>
      </c>
      <c r="C122" s="55">
        <f>C116</f>
        <v>292.61367999999999</v>
      </c>
    </row>
    <row r="123" spans="1:3" x14ac:dyDescent="0.3">
      <c r="A123" s="374" t="s">
        <v>0</v>
      </c>
      <c r="B123" s="374"/>
      <c r="C123" s="56">
        <f>SUM(C122:C122)</f>
        <v>292.61367999999999</v>
      </c>
    </row>
    <row r="125" spans="1:3" ht="13.5" thickBot="1" x14ac:dyDescent="0.35"/>
    <row r="126" spans="1:3" ht="16" thickBot="1" x14ac:dyDescent="0.35">
      <c r="A126" s="387" t="s">
        <v>39</v>
      </c>
      <c r="B126" s="388"/>
      <c r="C126" s="389"/>
    </row>
    <row r="128" spans="1:3" x14ac:dyDescent="0.3">
      <c r="A128" s="39">
        <v>5</v>
      </c>
      <c r="B128" s="24" t="s">
        <v>1</v>
      </c>
      <c r="C128" s="39" t="s">
        <v>8</v>
      </c>
    </row>
    <row r="129" spans="1:5" x14ac:dyDescent="0.3">
      <c r="A129" s="14" t="s">
        <v>9</v>
      </c>
      <c r="B129" s="25" t="s">
        <v>40</v>
      </c>
      <c r="C129" s="29">
        <f>UNIFORMES!F10</f>
        <v>53.034166666666664</v>
      </c>
    </row>
    <row r="130" spans="1:5" x14ac:dyDescent="0.3">
      <c r="A130" s="14" t="s">
        <v>10</v>
      </c>
      <c r="B130" s="25" t="s">
        <v>41</v>
      </c>
      <c r="C130" s="29">
        <f>MATERIAIS!F166</f>
        <v>342.48</v>
      </c>
    </row>
    <row r="131" spans="1:5" x14ac:dyDescent="0.3">
      <c r="A131" s="14" t="s">
        <v>11</v>
      </c>
      <c r="B131" s="25" t="s">
        <v>125</v>
      </c>
      <c r="C131" s="29">
        <f>UTENSÍLIOS!F191</f>
        <v>110.78479166666669</v>
      </c>
    </row>
    <row r="132" spans="1:5" x14ac:dyDescent="0.3">
      <c r="A132" s="14" t="s">
        <v>12</v>
      </c>
      <c r="B132" s="25" t="s">
        <v>70</v>
      </c>
      <c r="C132" s="29">
        <f>'EQUIPAMENTOS '!F78</f>
        <v>25.596500000000002</v>
      </c>
    </row>
    <row r="133" spans="1:5" x14ac:dyDescent="0.3">
      <c r="A133" s="374" t="s">
        <v>25</v>
      </c>
      <c r="B133" s="374"/>
      <c r="C133" s="30">
        <f>SUM(C129:C132)</f>
        <v>531.89545833333341</v>
      </c>
    </row>
    <row r="135" spans="1:5" ht="13.5" thickBot="1" x14ac:dyDescent="0.35"/>
    <row r="136" spans="1:5" ht="16" thickBot="1" x14ac:dyDescent="0.35">
      <c r="A136" s="387" t="s">
        <v>42</v>
      </c>
      <c r="B136" s="388"/>
      <c r="C136" s="388"/>
      <c r="D136" s="389"/>
    </row>
    <row r="138" spans="1:5" x14ac:dyDescent="0.3">
      <c r="A138" s="39">
        <v>6</v>
      </c>
      <c r="B138" s="24" t="s">
        <v>2</v>
      </c>
      <c r="C138" s="39" t="s">
        <v>23</v>
      </c>
      <c r="D138" s="39" t="s">
        <v>8</v>
      </c>
    </row>
    <row r="139" spans="1:5" x14ac:dyDescent="0.3">
      <c r="A139" s="14" t="s">
        <v>9</v>
      </c>
      <c r="B139" s="25" t="s">
        <v>3</v>
      </c>
      <c r="C139" s="26">
        <v>0.06</v>
      </c>
      <c r="D139" s="55">
        <f>(C44+C88+C102+C123+C133)*C139</f>
        <v>280.64768425520003</v>
      </c>
    </row>
    <row r="140" spans="1:5" x14ac:dyDescent="0.3">
      <c r="A140" s="14" t="s">
        <v>10</v>
      </c>
      <c r="B140" s="25" t="s">
        <v>5</v>
      </c>
      <c r="C140" s="26">
        <v>6.7900000000000002E-2</v>
      </c>
      <c r="D140" s="55">
        <f>(C44+C88+C102+C123+C133)*C140</f>
        <v>317.59962934880139</v>
      </c>
    </row>
    <row r="141" spans="1:5" x14ac:dyDescent="0.3">
      <c r="A141" s="14" t="s">
        <v>11</v>
      </c>
      <c r="B141" s="25" t="s">
        <v>4</v>
      </c>
      <c r="C141" s="26"/>
      <c r="D141" s="55"/>
    </row>
    <row r="142" spans="1:5" x14ac:dyDescent="0.3">
      <c r="A142" s="14"/>
      <c r="B142" s="25" t="s">
        <v>48</v>
      </c>
      <c r="C142" s="41">
        <v>1.6500000000000001E-2</v>
      </c>
      <c r="D142" s="55">
        <f>(C44+C88+C102+C123+C133)*C142</f>
        <v>77.178113170180012</v>
      </c>
      <c r="E142" s="38" t="s">
        <v>74</v>
      </c>
    </row>
    <row r="143" spans="1:5" x14ac:dyDescent="0.3">
      <c r="A143" s="14"/>
      <c r="B143" s="25" t="s">
        <v>49</v>
      </c>
      <c r="C143" s="41">
        <v>7.5999999999999998E-2</v>
      </c>
      <c r="D143" s="55">
        <f>(C44+C88+C102+C123+C133)*C143</f>
        <v>355.48706672325335</v>
      </c>
      <c r="E143" s="38" t="s">
        <v>74</v>
      </c>
    </row>
    <row r="144" spans="1:5" x14ac:dyDescent="0.3">
      <c r="A144" s="14"/>
      <c r="B144" s="25" t="s">
        <v>43</v>
      </c>
      <c r="C144" s="26"/>
      <c r="D144" s="55"/>
    </row>
    <row r="145" spans="1:6" x14ac:dyDescent="0.3">
      <c r="A145" s="14"/>
      <c r="B145" s="25" t="s">
        <v>392</v>
      </c>
      <c r="C145" s="41">
        <v>0.04</v>
      </c>
      <c r="D145" s="243">
        <f>(C44+C88+C102+C123+C133)*C145</f>
        <v>187.09845617013337</v>
      </c>
    </row>
    <row r="146" spans="1:6" x14ac:dyDescent="0.3">
      <c r="A146" s="14"/>
      <c r="B146" s="25" t="s">
        <v>55</v>
      </c>
      <c r="C146" s="27">
        <f>SUM(C139:C145)</f>
        <v>0.26040000000000002</v>
      </c>
      <c r="D146" s="55">
        <f>(C44+C88+C102+C123+C133)*C146</f>
        <v>1218.0109496675682</v>
      </c>
      <c r="E146" s="18"/>
      <c r="F146" s="19"/>
    </row>
    <row r="147" spans="1:6" x14ac:dyDescent="0.3">
      <c r="A147" s="374" t="s">
        <v>25</v>
      </c>
      <c r="B147" s="374"/>
      <c r="C147" s="26"/>
      <c r="D147" s="56">
        <f>D146</f>
        <v>1218.0109496675682</v>
      </c>
    </row>
    <row r="149" spans="1:6" ht="13.5" thickBot="1" x14ac:dyDescent="0.35"/>
    <row r="150" spans="1:6" ht="16" thickBot="1" x14ac:dyDescent="0.35">
      <c r="A150" s="371" t="s">
        <v>44</v>
      </c>
      <c r="B150" s="372"/>
      <c r="C150" s="373"/>
    </row>
    <row r="152" spans="1:6" x14ac:dyDescent="0.3">
      <c r="A152" s="39"/>
      <c r="B152" s="39" t="s">
        <v>45</v>
      </c>
      <c r="C152" s="39" t="s">
        <v>8</v>
      </c>
    </row>
    <row r="153" spans="1:6" x14ac:dyDescent="0.3">
      <c r="A153" s="39" t="s">
        <v>9</v>
      </c>
      <c r="B153" s="25" t="s">
        <v>6</v>
      </c>
      <c r="C153" s="60">
        <f>C44</f>
        <v>1881.7599999999998</v>
      </c>
    </row>
    <row r="154" spans="1:6" x14ac:dyDescent="0.3">
      <c r="A154" s="39" t="s">
        <v>10</v>
      </c>
      <c r="B154" s="25" t="s">
        <v>16</v>
      </c>
      <c r="C154" s="60">
        <f>C88</f>
        <v>1832.99581152</v>
      </c>
    </row>
    <row r="155" spans="1:6" x14ac:dyDescent="0.3">
      <c r="A155" s="39" t="s">
        <v>11</v>
      </c>
      <c r="B155" s="25" t="s">
        <v>31</v>
      </c>
      <c r="C155" s="60">
        <f>C102</f>
        <v>138.19645439999999</v>
      </c>
    </row>
    <row r="156" spans="1:6" x14ac:dyDescent="0.3">
      <c r="A156" s="39" t="s">
        <v>12</v>
      </c>
      <c r="B156" s="28" t="s">
        <v>33</v>
      </c>
      <c r="C156" s="60">
        <f>C123</f>
        <v>292.61367999999999</v>
      </c>
    </row>
    <row r="157" spans="1:6" x14ac:dyDescent="0.3">
      <c r="A157" s="39" t="s">
        <v>13</v>
      </c>
      <c r="B157" s="25" t="s">
        <v>39</v>
      </c>
      <c r="C157" s="60">
        <f>C133</f>
        <v>531.89545833333341</v>
      </c>
    </row>
    <row r="158" spans="1:6" x14ac:dyDescent="0.3">
      <c r="A158" s="374" t="s">
        <v>46</v>
      </c>
      <c r="B158" s="374"/>
      <c r="C158" s="61">
        <f>SUM(C153:C157)</f>
        <v>4677.461404253334</v>
      </c>
    </row>
    <row r="159" spans="1:6" x14ac:dyDescent="0.3">
      <c r="A159" s="39" t="s">
        <v>14</v>
      </c>
      <c r="B159" s="25" t="s">
        <v>47</v>
      </c>
      <c r="C159" s="60">
        <f>D147</f>
        <v>1218.0109496675682</v>
      </c>
    </row>
    <row r="160" spans="1:6" x14ac:dyDescent="0.3">
      <c r="A160" s="374" t="s">
        <v>160</v>
      </c>
      <c r="B160" s="374"/>
      <c r="C160" s="62">
        <f>C158+C159</f>
        <v>5895.4723539209026</v>
      </c>
      <c r="D160" s="17"/>
    </row>
    <row r="161" spans="1:5" x14ac:dyDescent="0.3">
      <c r="A161" s="375" t="s">
        <v>56</v>
      </c>
      <c r="B161" s="376"/>
      <c r="C161" s="63">
        <f>12*C160</f>
        <v>70745.668247050839</v>
      </c>
      <c r="D161" s="17"/>
    </row>
    <row r="162" spans="1:5" x14ac:dyDescent="0.3">
      <c r="A162" s="385" t="s">
        <v>393</v>
      </c>
      <c r="B162" s="386"/>
      <c r="C162" s="113">
        <f>2*C161</f>
        <v>141491.33649410168</v>
      </c>
      <c r="D162" s="17"/>
    </row>
    <row r="163" spans="1:5" x14ac:dyDescent="0.3">
      <c r="A163" s="383" t="s">
        <v>142</v>
      </c>
      <c r="B163" s="384"/>
      <c r="C163" s="62">
        <f>2*C162</f>
        <v>282982.67298820335</v>
      </c>
      <c r="D163" s="17"/>
    </row>
    <row r="164" spans="1:5" s="50" customFormat="1" ht="13.5" thickBot="1" x14ac:dyDescent="0.35">
      <c r="A164" s="380" t="s">
        <v>97</v>
      </c>
      <c r="B164" s="381"/>
      <c r="C164" s="382"/>
      <c r="D164" s="48"/>
      <c r="E164" s="49"/>
    </row>
    <row r="165" spans="1:5" s="50" customFormat="1" ht="91.4" customHeight="1" thickBot="1" x14ac:dyDescent="0.35">
      <c r="A165" s="377" t="s">
        <v>86</v>
      </c>
      <c r="B165" s="378"/>
      <c r="C165" s="379"/>
    </row>
  </sheetData>
  <mergeCells count="43">
    <mergeCell ref="A165:C165"/>
    <mergeCell ref="A158:B158"/>
    <mergeCell ref="A160:B160"/>
    <mergeCell ref="A161:B161"/>
    <mergeCell ref="A162:B162"/>
    <mergeCell ref="A163:B163"/>
    <mergeCell ref="A164:C164"/>
    <mergeCell ref="A150:C150"/>
    <mergeCell ref="A101:B101"/>
    <mergeCell ref="A102:B102"/>
    <mergeCell ref="A105:C105"/>
    <mergeCell ref="A107:C107"/>
    <mergeCell ref="A116:B116"/>
    <mergeCell ref="A119:C119"/>
    <mergeCell ref="A123:B123"/>
    <mergeCell ref="A126:C126"/>
    <mergeCell ref="A133:B133"/>
    <mergeCell ref="A136:D136"/>
    <mergeCell ref="A147:B147"/>
    <mergeCell ref="A97:B97"/>
    <mergeCell ref="A47:C47"/>
    <mergeCell ref="A49:C49"/>
    <mergeCell ref="A54:B54"/>
    <mergeCell ref="A57:D57"/>
    <mergeCell ref="A67:B67"/>
    <mergeCell ref="A69:B69"/>
    <mergeCell ref="A72:C72"/>
    <mergeCell ref="A79:B79"/>
    <mergeCell ref="A82:C82"/>
    <mergeCell ref="A88:B88"/>
    <mergeCell ref="A91:C91"/>
    <mergeCell ref="A44:B44"/>
    <mergeCell ref="A1:C1"/>
    <mergeCell ref="A2:C2"/>
    <mergeCell ref="A4:C4"/>
    <mergeCell ref="A5:C5"/>
    <mergeCell ref="A6:C6"/>
    <mergeCell ref="A10:C10"/>
    <mergeCell ref="A18:A20"/>
    <mergeCell ref="A21:B21"/>
    <mergeCell ref="A24:C24"/>
    <mergeCell ref="A29:C29"/>
    <mergeCell ref="A38:C38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5"/>
  <sheetViews>
    <sheetView showGridLines="0" topLeftCell="A36" zoomScaleNormal="100" workbookViewId="0">
      <selection activeCell="C41" sqref="C41:C43"/>
    </sheetView>
  </sheetViews>
  <sheetFormatPr defaultColWidth="9.1796875" defaultRowHeight="13" x14ac:dyDescent="0.3"/>
  <cols>
    <col min="1" max="1" width="17.26953125" style="5" bestFit="1" customWidth="1"/>
    <col min="2" max="2" width="72.1796875" style="5" customWidth="1"/>
    <col min="3" max="3" width="20.26953125" style="5" bestFit="1" customWidth="1"/>
    <col min="4" max="4" width="15.26953125" style="5" bestFit="1" customWidth="1"/>
    <col min="5" max="5" width="14.7265625" style="5" customWidth="1"/>
    <col min="6" max="6" width="12" style="5" customWidth="1"/>
    <col min="7" max="7" width="15.1796875" style="5" customWidth="1"/>
    <col min="8" max="16384" width="9.1796875" style="5"/>
  </cols>
  <sheetData>
    <row r="1" spans="1:3" x14ac:dyDescent="0.3">
      <c r="A1" s="366" t="s">
        <v>59</v>
      </c>
      <c r="B1" s="366"/>
      <c r="C1" s="366"/>
    </row>
    <row r="2" spans="1:3" x14ac:dyDescent="0.3">
      <c r="A2" s="367" t="s">
        <v>146</v>
      </c>
      <c r="B2" s="367"/>
      <c r="C2" s="367"/>
    </row>
    <row r="3" spans="1:3" x14ac:dyDescent="0.3">
      <c r="A3" s="37"/>
      <c r="B3" s="37"/>
      <c r="C3" s="37"/>
    </row>
    <row r="4" spans="1:3" x14ac:dyDescent="0.3">
      <c r="A4" s="368" t="s">
        <v>420</v>
      </c>
      <c r="B4" s="368"/>
      <c r="C4" s="368"/>
    </row>
    <row r="5" spans="1:3" x14ac:dyDescent="0.3">
      <c r="A5" s="369" t="s">
        <v>147</v>
      </c>
      <c r="B5" s="369"/>
      <c r="C5" s="369"/>
    </row>
    <row r="6" spans="1:3" x14ac:dyDescent="0.3">
      <c r="A6" s="370" t="s">
        <v>148</v>
      </c>
      <c r="B6" s="370"/>
      <c r="C6" s="370"/>
    </row>
    <row r="10" spans="1:3" x14ac:dyDescent="0.3">
      <c r="A10" s="362" t="s">
        <v>60</v>
      </c>
      <c r="B10" s="362"/>
      <c r="C10" s="362"/>
    </row>
    <row r="11" spans="1:3" x14ac:dyDescent="0.3">
      <c r="A11" s="14" t="s">
        <v>9</v>
      </c>
      <c r="B11" s="13" t="s">
        <v>61</v>
      </c>
      <c r="C11" s="6" t="s">
        <v>149</v>
      </c>
    </row>
    <row r="12" spans="1:3" x14ac:dyDescent="0.3">
      <c r="A12" s="14" t="s">
        <v>10</v>
      </c>
      <c r="B12" s="13" t="s">
        <v>62</v>
      </c>
      <c r="C12" s="7" t="s">
        <v>394</v>
      </c>
    </row>
    <row r="13" spans="1:3" ht="15.65" customHeight="1" x14ac:dyDescent="0.3">
      <c r="A13" s="14" t="s">
        <v>11</v>
      </c>
      <c r="B13" s="13" t="s">
        <v>63</v>
      </c>
      <c r="C13" s="21" t="s">
        <v>151</v>
      </c>
    </row>
    <row r="14" spans="1:3" x14ac:dyDescent="0.3">
      <c r="A14" s="14" t="s">
        <v>12</v>
      </c>
      <c r="B14" s="13" t="s">
        <v>64</v>
      </c>
      <c r="C14" s="8">
        <v>12</v>
      </c>
    </row>
    <row r="17" spans="1:4" x14ac:dyDescent="0.3">
      <c r="A17" s="68" t="s">
        <v>110</v>
      </c>
      <c r="B17" s="68" t="s">
        <v>111</v>
      </c>
      <c r="C17" s="68" t="s">
        <v>112</v>
      </c>
    </row>
    <row r="18" spans="1:4" x14ac:dyDescent="0.3">
      <c r="A18" s="363" t="s">
        <v>113</v>
      </c>
      <c r="B18" s="69" t="s">
        <v>114</v>
      </c>
      <c r="C18" s="70">
        <v>1692.1</v>
      </c>
    </row>
    <row r="19" spans="1:4" x14ac:dyDescent="0.3">
      <c r="A19" s="363"/>
      <c r="B19" s="71" t="s">
        <v>115</v>
      </c>
      <c r="C19" s="72">
        <v>560</v>
      </c>
    </row>
    <row r="20" spans="1:4" x14ac:dyDescent="0.3">
      <c r="A20" s="363"/>
      <c r="B20" s="71" t="s">
        <v>116</v>
      </c>
      <c r="C20" s="72">
        <v>153.03</v>
      </c>
    </row>
    <row r="21" spans="1:4" x14ac:dyDescent="0.3">
      <c r="A21" s="364"/>
      <c r="B21" s="364"/>
      <c r="C21" s="74">
        <f>SUM(C18:C20)</f>
        <v>2405.13</v>
      </c>
    </row>
    <row r="24" spans="1:4" x14ac:dyDescent="0.3">
      <c r="A24" s="365" t="s">
        <v>118</v>
      </c>
      <c r="B24" s="365"/>
      <c r="C24" s="365"/>
    </row>
    <row r="25" spans="1:4" ht="36" x14ac:dyDescent="0.3">
      <c r="A25" s="75" t="s">
        <v>110</v>
      </c>
      <c r="B25" s="75" t="s">
        <v>119</v>
      </c>
      <c r="C25" s="76" t="s">
        <v>120</v>
      </c>
    </row>
    <row r="26" spans="1:4" x14ac:dyDescent="0.3">
      <c r="A26" s="77" t="s">
        <v>121</v>
      </c>
      <c r="B26" s="78" t="s">
        <v>122</v>
      </c>
      <c r="C26" s="79">
        <f>C21</f>
        <v>2405.13</v>
      </c>
    </row>
    <row r="28" spans="1:4" ht="15" customHeight="1" x14ac:dyDescent="0.3"/>
    <row r="29" spans="1:4" ht="15" customHeight="1" x14ac:dyDescent="0.3">
      <c r="A29" s="362" t="s">
        <v>65</v>
      </c>
      <c r="B29" s="362"/>
      <c r="C29" s="362"/>
    </row>
    <row r="30" spans="1:4" ht="15" customHeight="1" x14ac:dyDescent="0.3">
      <c r="A30" s="14">
        <v>1</v>
      </c>
      <c r="B30" s="10" t="s">
        <v>66</v>
      </c>
      <c r="C30" s="44" t="s">
        <v>123</v>
      </c>
    </row>
    <row r="31" spans="1:4" ht="15" customHeight="1" x14ac:dyDescent="0.3">
      <c r="A31" s="14">
        <v>2</v>
      </c>
      <c r="B31" s="10" t="s">
        <v>67</v>
      </c>
      <c r="C31" s="22" t="s">
        <v>124</v>
      </c>
    </row>
    <row r="32" spans="1:4" ht="15" customHeight="1" x14ac:dyDescent="0.3">
      <c r="A32" s="14">
        <v>3</v>
      </c>
      <c r="B32" s="11" t="s">
        <v>153</v>
      </c>
      <c r="C32" s="23">
        <v>1403.85</v>
      </c>
      <c r="D32" s="51"/>
    </row>
    <row r="33" spans="1:3" ht="15" customHeight="1" x14ac:dyDescent="0.3">
      <c r="A33" s="14">
        <v>4</v>
      </c>
      <c r="B33" s="10" t="s">
        <v>68</v>
      </c>
      <c r="C33" s="9" t="s">
        <v>154</v>
      </c>
    </row>
    <row r="34" spans="1:3" ht="15" customHeight="1" x14ac:dyDescent="0.3">
      <c r="A34" s="14">
        <v>5</v>
      </c>
      <c r="B34" s="10" t="s">
        <v>69</v>
      </c>
      <c r="C34" s="12">
        <v>44927</v>
      </c>
    </row>
    <row r="37" spans="1:3" ht="13.5" thickBot="1" x14ac:dyDescent="0.35"/>
    <row r="38" spans="1:3" ht="16" thickBot="1" x14ac:dyDescent="0.35">
      <c r="A38" s="387" t="s">
        <v>6</v>
      </c>
      <c r="B38" s="388"/>
      <c r="C38" s="389"/>
    </row>
    <row r="40" spans="1:3" x14ac:dyDescent="0.3">
      <c r="A40" s="39">
        <v>1</v>
      </c>
      <c r="B40" s="39" t="s">
        <v>7</v>
      </c>
      <c r="C40" s="39" t="s">
        <v>8</v>
      </c>
    </row>
    <row r="41" spans="1:3" x14ac:dyDescent="0.3">
      <c r="A41" s="14" t="s">
        <v>9</v>
      </c>
      <c r="B41" s="25" t="s">
        <v>156</v>
      </c>
      <c r="C41" s="52">
        <f>C32</f>
        <v>1403.85</v>
      </c>
    </row>
    <row r="42" spans="1:3" ht="26" x14ac:dyDescent="0.3">
      <c r="A42" s="14" t="s">
        <v>10</v>
      </c>
      <c r="B42" s="25" t="s">
        <v>437</v>
      </c>
      <c r="C42" s="112">
        <f>(1412/100)*30</f>
        <v>423.59999999999997</v>
      </c>
    </row>
    <row r="43" spans="1:3" x14ac:dyDescent="0.3">
      <c r="A43" s="14" t="s">
        <v>11</v>
      </c>
      <c r="B43" s="25" t="s">
        <v>157</v>
      </c>
      <c r="C43" s="52">
        <v>54.31</v>
      </c>
    </row>
    <row r="44" spans="1:3" x14ac:dyDescent="0.3">
      <c r="A44" s="392" t="s">
        <v>0</v>
      </c>
      <c r="B44" s="393"/>
      <c r="C44" s="54">
        <f>SUM(C41:C43)</f>
        <v>1881.7599999999998</v>
      </c>
    </row>
    <row r="47" spans="1:3" x14ac:dyDescent="0.3">
      <c r="A47" s="394" t="s">
        <v>16</v>
      </c>
      <c r="B47" s="394"/>
      <c r="C47" s="394"/>
    </row>
    <row r="48" spans="1:3" x14ac:dyDescent="0.3">
      <c r="A48" s="15"/>
    </row>
    <row r="49" spans="1:5" x14ac:dyDescent="0.3">
      <c r="A49" s="390" t="s">
        <v>17</v>
      </c>
      <c r="B49" s="390"/>
      <c r="C49" s="390"/>
    </row>
    <row r="51" spans="1:5" x14ac:dyDescent="0.3">
      <c r="A51" s="39" t="s">
        <v>18</v>
      </c>
      <c r="B51" s="39" t="s">
        <v>19</v>
      </c>
      <c r="C51" s="39" t="s">
        <v>8</v>
      </c>
    </row>
    <row r="52" spans="1:5" x14ac:dyDescent="0.3">
      <c r="A52" s="14" t="s">
        <v>9</v>
      </c>
      <c r="B52" s="25" t="s">
        <v>84</v>
      </c>
      <c r="C52" s="52">
        <f>C44/12</f>
        <v>156.8133333333333</v>
      </c>
    </row>
    <row r="53" spans="1:5" x14ac:dyDescent="0.3">
      <c r="A53" s="14" t="s">
        <v>10</v>
      </c>
      <c r="B53" s="25" t="s">
        <v>85</v>
      </c>
      <c r="C53" s="52">
        <f>(C44/100)*12.1</f>
        <v>227.69295999999997</v>
      </c>
    </row>
    <row r="54" spans="1:5" x14ac:dyDescent="0.3">
      <c r="A54" s="374" t="s">
        <v>0</v>
      </c>
      <c r="B54" s="374"/>
      <c r="C54" s="54">
        <f>SUM(C52:C53)</f>
        <v>384.50629333333325</v>
      </c>
    </row>
    <row r="57" spans="1:5" ht="32.25" customHeight="1" x14ac:dyDescent="0.3">
      <c r="A57" s="396" t="s">
        <v>20</v>
      </c>
      <c r="B57" s="396"/>
      <c r="C57" s="396"/>
      <c r="D57" s="396"/>
    </row>
    <row r="59" spans="1:5" x14ac:dyDescent="0.3">
      <c r="A59" s="39" t="s">
        <v>21</v>
      </c>
      <c r="B59" s="39" t="s">
        <v>22</v>
      </c>
      <c r="C59" s="39" t="s">
        <v>23</v>
      </c>
      <c r="D59" s="39" t="s">
        <v>8</v>
      </c>
    </row>
    <row r="60" spans="1:5" x14ac:dyDescent="0.3">
      <c r="A60" s="14" t="s">
        <v>9</v>
      </c>
      <c r="B60" s="25" t="s">
        <v>88</v>
      </c>
      <c r="C60" s="33">
        <v>0.2</v>
      </c>
      <c r="D60" s="52">
        <f>(C44+C54)*C60</f>
        <v>453.25325866666662</v>
      </c>
    </row>
    <row r="61" spans="1:5" x14ac:dyDescent="0.3">
      <c r="A61" s="14" t="s">
        <v>10</v>
      </c>
      <c r="B61" s="25" t="s">
        <v>94</v>
      </c>
      <c r="C61" s="33">
        <v>2.5000000000000001E-2</v>
      </c>
      <c r="D61" s="52">
        <f>(C44+C54)*C61</f>
        <v>56.656657333333328</v>
      </c>
    </row>
    <row r="62" spans="1:5" x14ac:dyDescent="0.3">
      <c r="A62" s="14" t="s">
        <v>11</v>
      </c>
      <c r="B62" s="25" t="s">
        <v>93</v>
      </c>
      <c r="C62" s="34">
        <v>0.03</v>
      </c>
      <c r="D62" s="52">
        <f>(C44+C54)*C62</f>
        <v>67.987988799999997</v>
      </c>
      <c r="E62" s="38" t="s">
        <v>73</v>
      </c>
    </row>
    <row r="63" spans="1:5" x14ac:dyDescent="0.3">
      <c r="A63" s="14" t="s">
        <v>12</v>
      </c>
      <c r="B63" s="25" t="s">
        <v>89</v>
      </c>
      <c r="C63" s="33">
        <v>1.4999999999999999E-2</v>
      </c>
      <c r="D63" s="52">
        <f>(C44+C54)*C63</f>
        <v>33.993994399999998</v>
      </c>
    </row>
    <row r="64" spans="1:5" x14ac:dyDescent="0.3">
      <c r="A64" s="14" t="s">
        <v>13</v>
      </c>
      <c r="B64" s="25" t="s">
        <v>90</v>
      </c>
      <c r="C64" s="33">
        <v>0.01</v>
      </c>
      <c r="D64" s="52">
        <f>(C44+C54)*C64</f>
        <v>22.662662933333333</v>
      </c>
    </row>
    <row r="65" spans="1:5" x14ac:dyDescent="0.3">
      <c r="A65" s="14" t="s">
        <v>14</v>
      </c>
      <c r="B65" s="25" t="s">
        <v>91</v>
      </c>
      <c r="C65" s="33">
        <v>6.0000000000000001E-3</v>
      </c>
      <c r="D65" s="52">
        <f>(C44+C44)*C65</f>
        <v>22.581119999999999</v>
      </c>
    </row>
    <row r="66" spans="1:5" x14ac:dyDescent="0.3">
      <c r="A66" s="14" t="s">
        <v>15</v>
      </c>
      <c r="B66" s="25" t="s">
        <v>92</v>
      </c>
      <c r="C66" s="33">
        <v>2E-3</v>
      </c>
      <c r="D66" s="52">
        <f>(C44+C54)*C66</f>
        <v>4.5325325866666661</v>
      </c>
    </row>
    <row r="67" spans="1:5" x14ac:dyDescent="0.3">
      <c r="A67" s="397" t="s">
        <v>50</v>
      </c>
      <c r="B67" s="397"/>
      <c r="C67" s="35">
        <f>SUM(C60:C66)</f>
        <v>0.28800000000000003</v>
      </c>
      <c r="D67" s="53">
        <f>SUM(D60:D66)</f>
        <v>661.66821472000004</v>
      </c>
    </row>
    <row r="68" spans="1:5" x14ac:dyDescent="0.3">
      <c r="A68" s="14" t="s">
        <v>24</v>
      </c>
      <c r="B68" s="25" t="s">
        <v>95</v>
      </c>
      <c r="C68" s="33">
        <v>0.08</v>
      </c>
      <c r="D68" s="52">
        <f>(C44+C54)*C68</f>
        <v>181.30130346666667</v>
      </c>
    </row>
    <row r="69" spans="1:5" x14ac:dyDescent="0.3">
      <c r="A69" s="374" t="s">
        <v>25</v>
      </c>
      <c r="B69" s="374"/>
      <c r="C69" s="36">
        <f>SUM(C67:C68)</f>
        <v>0.36800000000000005</v>
      </c>
      <c r="D69" s="54">
        <f>SUM(D67:D68)</f>
        <v>842.96951818666673</v>
      </c>
    </row>
    <row r="72" spans="1:5" x14ac:dyDescent="0.3">
      <c r="A72" s="390" t="s">
        <v>26</v>
      </c>
      <c r="B72" s="390"/>
      <c r="C72" s="390"/>
    </row>
    <row r="74" spans="1:5" x14ac:dyDescent="0.3">
      <c r="A74" s="39" t="s">
        <v>27</v>
      </c>
      <c r="B74" s="39" t="s">
        <v>28</v>
      </c>
      <c r="C74" s="39" t="s">
        <v>8</v>
      </c>
    </row>
    <row r="75" spans="1:5" x14ac:dyDescent="0.3">
      <c r="A75" s="14" t="s">
        <v>9</v>
      </c>
      <c r="B75" s="25" t="s">
        <v>395</v>
      </c>
      <c r="C75" s="64">
        <f>(6*2*22)-(C41/100)*6</f>
        <v>179.76900000000001</v>
      </c>
      <c r="D75" s="20"/>
      <c r="E75" s="20"/>
    </row>
    <row r="76" spans="1:5" x14ac:dyDescent="0.3">
      <c r="A76" s="14" t="s">
        <v>10</v>
      </c>
      <c r="B76" s="25" t="s">
        <v>159</v>
      </c>
      <c r="C76" s="52">
        <f>(19.9*22)-(437.8/100)*5</f>
        <v>415.90999999999997</v>
      </c>
      <c r="D76" s="17"/>
    </row>
    <row r="77" spans="1:5" x14ac:dyDescent="0.3">
      <c r="A77" s="14" t="s">
        <v>11</v>
      </c>
      <c r="B77" s="1" t="s">
        <v>158</v>
      </c>
      <c r="C77" s="83">
        <v>49</v>
      </c>
    </row>
    <row r="78" spans="1:5" x14ac:dyDescent="0.3">
      <c r="A78" s="14" t="s">
        <v>12</v>
      </c>
      <c r="B78" s="25" t="s">
        <v>155</v>
      </c>
      <c r="C78" s="52">
        <v>140.61000000000001</v>
      </c>
    </row>
    <row r="79" spans="1:5" x14ac:dyDescent="0.3">
      <c r="A79" s="374" t="s">
        <v>0</v>
      </c>
      <c r="B79" s="374"/>
      <c r="C79" s="54">
        <f>SUM(C75:C78)</f>
        <v>785.28899999999999</v>
      </c>
    </row>
    <row r="82" spans="1:3" x14ac:dyDescent="0.3">
      <c r="A82" s="390" t="s">
        <v>29</v>
      </c>
      <c r="B82" s="390"/>
      <c r="C82" s="390"/>
    </row>
    <row r="84" spans="1:3" x14ac:dyDescent="0.3">
      <c r="A84" s="39">
        <v>2</v>
      </c>
      <c r="B84" s="39" t="s">
        <v>30</v>
      </c>
      <c r="C84" s="39" t="s">
        <v>8</v>
      </c>
    </row>
    <row r="85" spans="1:3" x14ac:dyDescent="0.3">
      <c r="A85" s="14" t="s">
        <v>18</v>
      </c>
      <c r="B85" s="25" t="s">
        <v>19</v>
      </c>
      <c r="C85" s="55">
        <f>C54</f>
        <v>384.50629333333325</v>
      </c>
    </row>
    <row r="86" spans="1:3" x14ac:dyDescent="0.3">
      <c r="A86" s="14" t="s">
        <v>21</v>
      </c>
      <c r="B86" s="25" t="s">
        <v>22</v>
      </c>
      <c r="C86" s="55">
        <f>D69</f>
        <v>842.96951818666673</v>
      </c>
    </row>
    <row r="87" spans="1:3" x14ac:dyDescent="0.3">
      <c r="A87" s="14" t="s">
        <v>27</v>
      </c>
      <c r="B87" s="25" t="s">
        <v>28</v>
      </c>
      <c r="C87" s="55">
        <f>C79</f>
        <v>785.28899999999999</v>
      </c>
    </row>
    <row r="88" spans="1:3" x14ac:dyDescent="0.3">
      <c r="A88" s="374" t="s">
        <v>0</v>
      </c>
      <c r="B88" s="374"/>
      <c r="C88" s="56">
        <f>SUM(C85:C87)</f>
        <v>2012.76481152</v>
      </c>
    </row>
    <row r="89" spans="1:3" x14ac:dyDescent="0.3">
      <c r="A89" s="16"/>
    </row>
    <row r="90" spans="1:3" ht="13.5" thickBot="1" x14ac:dyDescent="0.35"/>
    <row r="91" spans="1:3" ht="13.5" thickBot="1" x14ac:dyDescent="0.35">
      <c r="A91" s="398" t="s">
        <v>31</v>
      </c>
      <c r="B91" s="399"/>
      <c r="C91" s="400"/>
    </row>
    <row r="93" spans="1:3" x14ac:dyDescent="0.3">
      <c r="A93" s="39">
        <v>3</v>
      </c>
      <c r="B93" s="39" t="s">
        <v>32</v>
      </c>
      <c r="C93" s="39" t="s">
        <v>8</v>
      </c>
    </row>
    <row r="94" spans="1:3" x14ac:dyDescent="0.3">
      <c r="A94" s="14" t="s">
        <v>9</v>
      </c>
      <c r="B94" s="31" t="s">
        <v>71</v>
      </c>
      <c r="C94" s="52">
        <f>(C44/100)*1.81</f>
        <v>34.059855999999996</v>
      </c>
    </row>
    <row r="95" spans="1:3" x14ac:dyDescent="0.3">
      <c r="A95" s="14" t="s">
        <v>10</v>
      </c>
      <c r="B95" s="31" t="s">
        <v>72</v>
      </c>
      <c r="C95" s="52">
        <f>(C44/100)*0.14</f>
        <v>2.6344639999999999</v>
      </c>
    </row>
    <row r="96" spans="1:3" ht="26" x14ac:dyDescent="0.3">
      <c r="A96" s="14" t="s">
        <v>11</v>
      </c>
      <c r="B96" s="31" t="s">
        <v>75</v>
      </c>
      <c r="C96" s="52">
        <f>(C44/100)*4.05</f>
        <v>76.211279999999988</v>
      </c>
    </row>
    <row r="97" spans="1:4" x14ac:dyDescent="0.3">
      <c r="A97" s="401" t="s">
        <v>51</v>
      </c>
      <c r="B97" s="402"/>
      <c r="C97" s="54">
        <f>SUM(C94:C96)</f>
        <v>112.90559999999999</v>
      </c>
    </row>
    <row r="98" spans="1:4" ht="32.15" customHeight="1" x14ac:dyDescent="0.3">
      <c r="A98" s="14" t="s">
        <v>12</v>
      </c>
      <c r="B98" s="32" t="s">
        <v>76</v>
      </c>
      <c r="C98" s="57">
        <f>(C44/100)*0.194</f>
        <v>3.6506143999999998</v>
      </c>
    </row>
    <row r="99" spans="1:4" ht="26" x14ac:dyDescent="0.3">
      <c r="A99" s="14" t="s">
        <v>13</v>
      </c>
      <c r="B99" s="67" t="s">
        <v>77</v>
      </c>
      <c r="C99" s="57">
        <f>(C44/100)*0.7</f>
        <v>13.172319999999999</v>
      </c>
      <c r="D99" s="45"/>
    </row>
    <row r="100" spans="1:4" ht="26" x14ac:dyDescent="0.3">
      <c r="A100" s="42" t="s">
        <v>14</v>
      </c>
      <c r="B100" s="46" t="s">
        <v>78</v>
      </c>
      <c r="C100" s="66">
        <f>(C44/100)*0.45</f>
        <v>8.4679199999999994</v>
      </c>
    </row>
    <row r="101" spans="1:4" x14ac:dyDescent="0.3">
      <c r="A101" s="401" t="s">
        <v>52</v>
      </c>
      <c r="B101" s="403"/>
      <c r="C101" s="54">
        <f>SUM(C98:C100)</f>
        <v>25.290854399999997</v>
      </c>
    </row>
    <row r="102" spans="1:4" x14ac:dyDescent="0.3">
      <c r="A102" s="395" t="s">
        <v>53</v>
      </c>
      <c r="B102" s="395"/>
      <c r="C102" s="65">
        <f>C97+C101</f>
        <v>138.19645439999999</v>
      </c>
    </row>
    <row r="104" spans="1:4" ht="13.5" thickBot="1" x14ac:dyDescent="0.35"/>
    <row r="105" spans="1:4" ht="16" thickBot="1" x14ac:dyDescent="0.35">
      <c r="A105" s="387" t="s">
        <v>33</v>
      </c>
      <c r="B105" s="388"/>
      <c r="C105" s="389"/>
    </row>
    <row r="107" spans="1:4" x14ac:dyDescent="0.3">
      <c r="A107" s="390" t="s">
        <v>34</v>
      </c>
      <c r="B107" s="390"/>
      <c r="C107" s="390"/>
    </row>
    <row r="108" spans="1:4" x14ac:dyDescent="0.3">
      <c r="A108" s="15"/>
    </row>
    <row r="109" spans="1:4" x14ac:dyDescent="0.3">
      <c r="A109" s="39" t="s">
        <v>35</v>
      </c>
      <c r="B109" s="43" t="s">
        <v>36</v>
      </c>
      <c r="C109" s="39" t="s">
        <v>8</v>
      </c>
    </row>
    <row r="110" spans="1:4" ht="26" x14ac:dyDescent="0.3">
      <c r="A110" s="42" t="s">
        <v>9</v>
      </c>
      <c r="B110" s="46" t="s">
        <v>79</v>
      </c>
      <c r="C110" s="58">
        <f>(C44/100)*0.95</f>
        <v>17.876719999999999</v>
      </c>
      <c r="D110" s="20"/>
    </row>
    <row r="111" spans="1:4" ht="26" x14ac:dyDescent="0.3">
      <c r="A111" s="42" t="s">
        <v>10</v>
      </c>
      <c r="B111" s="46" t="s">
        <v>80</v>
      </c>
      <c r="C111" s="58">
        <f>(C44/100)*4.17</f>
        <v>78.469391999999999</v>
      </c>
      <c r="D111" s="19"/>
    </row>
    <row r="112" spans="1:4" x14ac:dyDescent="0.3">
      <c r="A112" s="42" t="s">
        <v>11</v>
      </c>
      <c r="B112" s="47" t="s">
        <v>81</v>
      </c>
      <c r="C112" s="58">
        <f>(C44/100)*0.1</f>
        <v>1.8817599999999999</v>
      </c>
    </row>
    <row r="113" spans="1:3" ht="26" x14ac:dyDescent="0.3">
      <c r="A113" s="42" t="s">
        <v>12</v>
      </c>
      <c r="B113" s="47" t="s">
        <v>82</v>
      </c>
      <c r="C113" s="58">
        <f>(C44/100)*0.63</f>
        <v>11.855087999999999</v>
      </c>
    </row>
    <row r="114" spans="1:3" ht="26" x14ac:dyDescent="0.3">
      <c r="A114" s="42" t="s">
        <v>13</v>
      </c>
      <c r="B114" s="47" t="s">
        <v>83</v>
      </c>
      <c r="C114" s="58">
        <f>(C44/100)*0.02</f>
        <v>0.37635199999999996</v>
      </c>
    </row>
    <row r="115" spans="1:3" ht="26" x14ac:dyDescent="0.3">
      <c r="A115" s="42" t="s">
        <v>14</v>
      </c>
      <c r="B115" s="47" t="s">
        <v>96</v>
      </c>
      <c r="C115" s="58">
        <f>(C44/100)*9.68</f>
        <v>182.15436799999998</v>
      </c>
    </row>
    <row r="116" spans="1:3" x14ac:dyDescent="0.3">
      <c r="A116" s="374" t="s">
        <v>25</v>
      </c>
      <c r="B116" s="391"/>
      <c r="C116" s="56">
        <f>SUM(C110:C115)</f>
        <v>292.61367999999999</v>
      </c>
    </row>
    <row r="119" spans="1:3" x14ac:dyDescent="0.3">
      <c r="A119" s="390" t="s">
        <v>37</v>
      </c>
      <c r="B119" s="390"/>
      <c r="C119" s="390"/>
    </row>
    <row r="120" spans="1:3" x14ac:dyDescent="0.3">
      <c r="A120" s="15"/>
    </row>
    <row r="121" spans="1:3" x14ac:dyDescent="0.3">
      <c r="A121" s="39">
        <v>4</v>
      </c>
      <c r="B121" s="40" t="s">
        <v>38</v>
      </c>
      <c r="C121" s="39" t="s">
        <v>8</v>
      </c>
    </row>
    <row r="122" spans="1:3" x14ac:dyDescent="0.3">
      <c r="A122" s="14" t="s">
        <v>35</v>
      </c>
      <c r="B122" s="25" t="s">
        <v>36</v>
      </c>
      <c r="C122" s="55">
        <f>C116</f>
        <v>292.61367999999999</v>
      </c>
    </row>
    <row r="123" spans="1:3" x14ac:dyDescent="0.3">
      <c r="A123" s="374" t="s">
        <v>0</v>
      </c>
      <c r="B123" s="374"/>
      <c r="C123" s="56">
        <f>SUM(C122:C122)</f>
        <v>292.61367999999999</v>
      </c>
    </row>
    <row r="125" spans="1:3" ht="13.5" thickBot="1" x14ac:dyDescent="0.35"/>
    <row r="126" spans="1:3" ht="16" thickBot="1" x14ac:dyDescent="0.35">
      <c r="A126" s="387" t="s">
        <v>39</v>
      </c>
      <c r="B126" s="388"/>
      <c r="C126" s="389"/>
    </row>
    <row r="128" spans="1:3" x14ac:dyDescent="0.3">
      <c r="A128" s="39">
        <v>5</v>
      </c>
      <c r="B128" s="24" t="s">
        <v>1</v>
      </c>
      <c r="C128" s="39" t="s">
        <v>8</v>
      </c>
    </row>
    <row r="129" spans="1:5" x14ac:dyDescent="0.3">
      <c r="A129" s="14" t="s">
        <v>9</v>
      </c>
      <c r="B129" s="25" t="s">
        <v>40</v>
      </c>
      <c r="C129" s="29">
        <f>UNIFORMES!F10</f>
        <v>53.034166666666664</v>
      </c>
    </row>
    <row r="130" spans="1:5" x14ac:dyDescent="0.3">
      <c r="A130" s="14" t="s">
        <v>10</v>
      </c>
      <c r="B130" s="25" t="s">
        <v>41</v>
      </c>
      <c r="C130" s="29">
        <f>MATERIAIS!F191</f>
        <v>373.71000000000004</v>
      </c>
    </row>
    <row r="131" spans="1:5" x14ac:dyDescent="0.3">
      <c r="A131" s="14" t="s">
        <v>11</v>
      </c>
      <c r="B131" s="25" t="s">
        <v>125</v>
      </c>
      <c r="C131" s="29">
        <f>UTENSÍLIOS!F226</f>
        <v>143.60749999999993</v>
      </c>
    </row>
    <row r="132" spans="1:5" x14ac:dyDescent="0.3">
      <c r="A132" s="14" t="s">
        <v>12</v>
      </c>
      <c r="B132" s="25" t="s">
        <v>70</v>
      </c>
      <c r="C132" s="29">
        <f>'EQUIPAMENTOS '!F89</f>
        <v>19.045166666666667</v>
      </c>
    </row>
    <row r="133" spans="1:5" x14ac:dyDescent="0.3">
      <c r="A133" s="374" t="s">
        <v>25</v>
      </c>
      <c r="B133" s="374"/>
      <c r="C133" s="30">
        <f>SUM(C129:C132)</f>
        <v>589.39683333333335</v>
      </c>
    </row>
    <row r="135" spans="1:5" ht="13.5" thickBot="1" x14ac:dyDescent="0.35"/>
    <row r="136" spans="1:5" ht="16" thickBot="1" x14ac:dyDescent="0.35">
      <c r="A136" s="387" t="s">
        <v>42</v>
      </c>
      <c r="B136" s="388"/>
      <c r="C136" s="388"/>
      <c r="D136" s="389"/>
    </row>
    <row r="138" spans="1:5" x14ac:dyDescent="0.3">
      <c r="A138" s="39">
        <v>6</v>
      </c>
      <c r="B138" s="24" t="s">
        <v>2</v>
      </c>
      <c r="C138" s="39" t="s">
        <v>23</v>
      </c>
      <c r="D138" s="39" t="s">
        <v>8</v>
      </c>
    </row>
    <row r="139" spans="1:5" x14ac:dyDescent="0.3">
      <c r="A139" s="14" t="s">
        <v>9</v>
      </c>
      <c r="B139" s="25" t="s">
        <v>3</v>
      </c>
      <c r="C139" s="26">
        <v>0.06</v>
      </c>
      <c r="D139" s="55">
        <f>(C44+C88+C102+C123+C133)*C139</f>
        <v>294.88390675519997</v>
      </c>
    </row>
    <row r="140" spans="1:5" x14ac:dyDescent="0.3">
      <c r="A140" s="14" t="s">
        <v>10</v>
      </c>
      <c r="B140" s="25" t="s">
        <v>5</v>
      </c>
      <c r="C140" s="26">
        <v>6.7900000000000002E-2</v>
      </c>
      <c r="D140" s="55">
        <f>(C44+C88+C102+C123+C133)*C140</f>
        <v>333.71028781130133</v>
      </c>
    </row>
    <row r="141" spans="1:5" x14ac:dyDescent="0.3">
      <c r="A141" s="14" t="s">
        <v>11</v>
      </c>
      <c r="B141" s="25" t="s">
        <v>4</v>
      </c>
      <c r="C141" s="26"/>
      <c r="D141" s="55"/>
    </row>
    <row r="142" spans="1:5" x14ac:dyDescent="0.3">
      <c r="A142" s="14"/>
      <c r="B142" s="25" t="s">
        <v>48</v>
      </c>
      <c r="C142" s="41">
        <v>1.6500000000000001E-2</v>
      </c>
      <c r="D142" s="55">
        <f>(C44+C88+C102+C123+C133)*C142</f>
        <v>81.093074357679996</v>
      </c>
      <c r="E142" s="38" t="s">
        <v>74</v>
      </c>
    </row>
    <row r="143" spans="1:5" x14ac:dyDescent="0.3">
      <c r="A143" s="14"/>
      <c r="B143" s="25" t="s">
        <v>49</v>
      </c>
      <c r="C143" s="41">
        <v>7.5999999999999998E-2</v>
      </c>
      <c r="D143" s="55">
        <f>(C44+C88+C102+C123+C133)*C143</f>
        <v>373.51961522325331</v>
      </c>
      <c r="E143" s="38" t="s">
        <v>74</v>
      </c>
    </row>
    <row r="144" spans="1:5" x14ac:dyDescent="0.3">
      <c r="A144" s="14"/>
      <c r="B144" s="25" t="s">
        <v>43</v>
      </c>
      <c r="C144" s="26"/>
      <c r="D144" s="55"/>
    </row>
    <row r="145" spans="1:6" x14ac:dyDescent="0.3">
      <c r="A145" s="14"/>
      <c r="B145" s="25" t="s">
        <v>396</v>
      </c>
      <c r="C145" s="41">
        <v>0.03</v>
      </c>
      <c r="D145" s="243">
        <f>(C44+C88+C102+C123+C133)*C145</f>
        <v>147.44195337759999</v>
      </c>
    </row>
    <row r="146" spans="1:6" x14ac:dyDescent="0.3">
      <c r="A146" s="14"/>
      <c r="B146" s="25" t="s">
        <v>55</v>
      </c>
      <c r="C146" s="27">
        <f>SUM(C139:C145)</f>
        <v>0.25040000000000007</v>
      </c>
      <c r="D146" s="55">
        <f>(C44+C88+C102+C123+C133)*C146</f>
        <v>1230.6488375250349</v>
      </c>
      <c r="E146" s="18"/>
      <c r="F146" s="19"/>
    </row>
    <row r="147" spans="1:6" x14ac:dyDescent="0.3">
      <c r="A147" s="374" t="s">
        <v>25</v>
      </c>
      <c r="B147" s="374"/>
      <c r="C147" s="26"/>
      <c r="D147" s="56">
        <f>D146</f>
        <v>1230.6488375250349</v>
      </c>
    </row>
    <row r="149" spans="1:6" ht="13.5" thickBot="1" x14ac:dyDescent="0.35"/>
    <row r="150" spans="1:6" ht="16" thickBot="1" x14ac:dyDescent="0.35">
      <c r="A150" s="371" t="s">
        <v>44</v>
      </c>
      <c r="B150" s="372"/>
      <c r="C150" s="373"/>
    </row>
    <row r="152" spans="1:6" x14ac:dyDescent="0.3">
      <c r="A152" s="39"/>
      <c r="B152" s="39" t="s">
        <v>45</v>
      </c>
      <c r="C152" s="39" t="s">
        <v>8</v>
      </c>
    </row>
    <row r="153" spans="1:6" x14ac:dyDescent="0.3">
      <c r="A153" s="39" t="s">
        <v>9</v>
      </c>
      <c r="B153" s="25" t="s">
        <v>6</v>
      </c>
      <c r="C153" s="60">
        <f>C44</f>
        <v>1881.7599999999998</v>
      </c>
    </row>
    <row r="154" spans="1:6" x14ac:dyDescent="0.3">
      <c r="A154" s="39" t="s">
        <v>10</v>
      </c>
      <c r="B154" s="25" t="s">
        <v>16</v>
      </c>
      <c r="C154" s="60">
        <f>C88</f>
        <v>2012.76481152</v>
      </c>
    </row>
    <row r="155" spans="1:6" x14ac:dyDescent="0.3">
      <c r="A155" s="39" t="s">
        <v>11</v>
      </c>
      <c r="B155" s="25" t="s">
        <v>31</v>
      </c>
      <c r="C155" s="60">
        <f>C102</f>
        <v>138.19645439999999</v>
      </c>
    </row>
    <row r="156" spans="1:6" x14ac:dyDescent="0.3">
      <c r="A156" s="39" t="s">
        <v>12</v>
      </c>
      <c r="B156" s="28" t="s">
        <v>33</v>
      </c>
      <c r="C156" s="60">
        <f>C123</f>
        <v>292.61367999999999</v>
      </c>
    </row>
    <row r="157" spans="1:6" x14ac:dyDescent="0.3">
      <c r="A157" s="39" t="s">
        <v>13</v>
      </c>
      <c r="B157" s="25" t="s">
        <v>39</v>
      </c>
      <c r="C157" s="60">
        <f>C133</f>
        <v>589.39683333333335</v>
      </c>
    </row>
    <row r="158" spans="1:6" x14ac:dyDescent="0.3">
      <c r="A158" s="374" t="s">
        <v>46</v>
      </c>
      <c r="B158" s="374"/>
      <c r="C158" s="61">
        <f>SUM(C153:C157)</f>
        <v>4914.7317792533331</v>
      </c>
    </row>
    <row r="159" spans="1:6" x14ac:dyDescent="0.3">
      <c r="A159" s="39" t="s">
        <v>14</v>
      </c>
      <c r="B159" s="25" t="s">
        <v>47</v>
      </c>
      <c r="C159" s="60">
        <f>D147</f>
        <v>1230.6488375250349</v>
      </c>
    </row>
    <row r="160" spans="1:6" x14ac:dyDescent="0.3">
      <c r="A160" s="374" t="s">
        <v>160</v>
      </c>
      <c r="B160" s="374"/>
      <c r="C160" s="62">
        <f>C158+C159</f>
        <v>6145.3806167783678</v>
      </c>
      <c r="D160" s="17"/>
    </row>
    <row r="161" spans="1:5" x14ac:dyDescent="0.3">
      <c r="A161" s="375" t="s">
        <v>56</v>
      </c>
      <c r="B161" s="376"/>
      <c r="C161" s="63">
        <f>12*C160</f>
        <v>73744.567401340406</v>
      </c>
      <c r="D161" s="17"/>
    </row>
    <row r="162" spans="1:5" x14ac:dyDescent="0.3">
      <c r="A162" s="385" t="s">
        <v>393</v>
      </c>
      <c r="B162" s="386"/>
      <c r="C162" s="113">
        <f>2*C161</f>
        <v>147489.13480268081</v>
      </c>
      <c r="D162" s="17"/>
    </row>
    <row r="163" spans="1:5" x14ac:dyDescent="0.3">
      <c r="A163" s="383" t="s">
        <v>142</v>
      </c>
      <c r="B163" s="384"/>
      <c r="C163" s="62">
        <f>2*C162</f>
        <v>294978.26960536162</v>
      </c>
      <c r="D163" s="17"/>
    </row>
    <row r="164" spans="1:5" s="50" customFormat="1" ht="13.5" thickBot="1" x14ac:dyDescent="0.35">
      <c r="A164" s="380" t="s">
        <v>97</v>
      </c>
      <c r="B164" s="381"/>
      <c r="C164" s="382"/>
      <c r="D164" s="48"/>
      <c r="E164" s="49"/>
    </row>
    <row r="165" spans="1:5" s="50" customFormat="1" ht="91.4" customHeight="1" thickBot="1" x14ac:dyDescent="0.35">
      <c r="A165" s="377" t="s">
        <v>86</v>
      </c>
      <c r="B165" s="378"/>
      <c r="C165" s="379"/>
    </row>
  </sheetData>
  <mergeCells count="43">
    <mergeCell ref="A165:C165"/>
    <mergeCell ref="A158:B158"/>
    <mergeCell ref="A160:B160"/>
    <mergeCell ref="A161:B161"/>
    <mergeCell ref="A162:B162"/>
    <mergeCell ref="A163:B163"/>
    <mergeCell ref="A164:C164"/>
    <mergeCell ref="A150:C150"/>
    <mergeCell ref="A101:B101"/>
    <mergeCell ref="A102:B102"/>
    <mergeCell ref="A105:C105"/>
    <mergeCell ref="A107:C107"/>
    <mergeCell ref="A116:B116"/>
    <mergeCell ref="A119:C119"/>
    <mergeCell ref="A123:B123"/>
    <mergeCell ref="A126:C126"/>
    <mergeCell ref="A133:B133"/>
    <mergeCell ref="A136:D136"/>
    <mergeCell ref="A147:B147"/>
    <mergeCell ref="A97:B97"/>
    <mergeCell ref="A47:C47"/>
    <mergeCell ref="A49:C49"/>
    <mergeCell ref="A54:B54"/>
    <mergeCell ref="A57:D57"/>
    <mergeCell ref="A67:B67"/>
    <mergeCell ref="A69:B69"/>
    <mergeCell ref="A72:C72"/>
    <mergeCell ref="A79:B79"/>
    <mergeCell ref="A82:C82"/>
    <mergeCell ref="A88:B88"/>
    <mergeCell ref="A91:C91"/>
    <mergeCell ref="A44:B44"/>
    <mergeCell ref="A1:C1"/>
    <mergeCell ref="A2:C2"/>
    <mergeCell ref="A4:C4"/>
    <mergeCell ref="A5:C5"/>
    <mergeCell ref="A6:C6"/>
    <mergeCell ref="A10:C10"/>
    <mergeCell ref="A18:A20"/>
    <mergeCell ref="A21:B21"/>
    <mergeCell ref="A24:C24"/>
    <mergeCell ref="A29:C29"/>
    <mergeCell ref="A38:C38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64"/>
  <sheetViews>
    <sheetView showGridLines="0" topLeftCell="A39" zoomScaleNormal="100" workbookViewId="0">
      <selection activeCell="D54" sqref="D54"/>
    </sheetView>
  </sheetViews>
  <sheetFormatPr defaultColWidth="9.1796875" defaultRowHeight="13" x14ac:dyDescent="0.3"/>
  <cols>
    <col min="1" max="1" width="17.26953125" style="5" bestFit="1" customWidth="1"/>
    <col min="2" max="2" width="72.1796875" style="5" customWidth="1"/>
    <col min="3" max="3" width="20.26953125" style="5" bestFit="1" customWidth="1"/>
    <col min="4" max="4" width="15.26953125" style="5" bestFit="1" customWidth="1"/>
    <col min="5" max="5" width="14.7265625" style="5" customWidth="1"/>
    <col min="6" max="6" width="12" style="5" customWidth="1"/>
    <col min="7" max="7" width="15.1796875" style="5" customWidth="1"/>
    <col min="8" max="16384" width="9.1796875" style="5"/>
  </cols>
  <sheetData>
    <row r="1" spans="1:3" x14ac:dyDescent="0.3">
      <c r="A1" s="366" t="s">
        <v>59</v>
      </c>
      <c r="B1" s="366"/>
      <c r="C1" s="366"/>
    </row>
    <row r="2" spans="1:3" x14ac:dyDescent="0.3">
      <c r="A2" s="367" t="s">
        <v>146</v>
      </c>
      <c r="B2" s="367"/>
      <c r="C2" s="367"/>
    </row>
    <row r="3" spans="1:3" x14ac:dyDescent="0.3">
      <c r="A3" s="37"/>
      <c r="B3" s="37"/>
      <c r="C3" s="37"/>
    </row>
    <row r="4" spans="1:3" x14ac:dyDescent="0.3">
      <c r="A4" s="368" t="s">
        <v>420</v>
      </c>
      <c r="B4" s="368"/>
      <c r="C4" s="368"/>
    </row>
    <row r="5" spans="1:3" x14ac:dyDescent="0.3">
      <c r="A5" s="369" t="s">
        <v>147</v>
      </c>
      <c r="B5" s="369"/>
      <c r="C5" s="369"/>
    </row>
    <row r="6" spans="1:3" x14ac:dyDescent="0.3">
      <c r="A6" s="370" t="s">
        <v>148</v>
      </c>
      <c r="B6" s="370"/>
      <c r="C6" s="370"/>
    </row>
    <row r="10" spans="1:3" x14ac:dyDescent="0.3">
      <c r="A10" s="362" t="s">
        <v>60</v>
      </c>
      <c r="B10" s="362"/>
      <c r="C10" s="362"/>
    </row>
    <row r="11" spans="1:3" x14ac:dyDescent="0.3">
      <c r="A11" s="14" t="s">
        <v>9</v>
      </c>
      <c r="B11" s="13" t="s">
        <v>61</v>
      </c>
      <c r="C11" s="6" t="s">
        <v>149</v>
      </c>
    </row>
    <row r="12" spans="1:3" x14ac:dyDescent="0.3">
      <c r="A12" s="14" t="s">
        <v>10</v>
      </c>
      <c r="B12" s="13" t="s">
        <v>62</v>
      </c>
      <c r="C12" s="7" t="s">
        <v>403</v>
      </c>
    </row>
    <row r="13" spans="1:3" ht="15.65" customHeight="1" x14ac:dyDescent="0.3">
      <c r="A13" s="14" t="s">
        <v>11</v>
      </c>
      <c r="B13" s="13" t="s">
        <v>63</v>
      </c>
      <c r="C13" s="21" t="s">
        <v>151</v>
      </c>
    </row>
    <row r="14" spans="1:3" x14ac:dyDescent="0.3">
      <c r="A14" s="14" t="s">
        <v>12</v>
      </c>
      <c r="B14" s="13" t="s">
        <v>64</v>
      </c>
      <c r="C14" s="8">
        <v>12</v>
      </c>
    </row>
    <row r="17" spans="1:4" x14ac:dyDescent="0.3">
      <c r="A17" s="68" t="s">
        <v>110</v>
      </c>
      <c r="B17" s="68" t="s">
        <v>111</v>
      </c>
      <c r="C17" s="68" t="s">
        <v>112</v>
      </c>
    </row>
    <row r="18" spans="1:4" x14ac:dyDescent="0.3">
      <c r="A18" s="363" t="s">
        <v>113</v>
      </c>
      <c r="B18" s="69" t="s">
        <v>114</v>
      </c>
      <c r="C18" s="70">
        <v>264.82</v>
      </c>
    </row>
    <row r="19" spans="1:4" x14ac:dyDescent="0.3">
      <c r="A19" s="363"/>
      <c r="B19" s="71" t="s">
        <v>115</v>
      </c>
      <c r="C19" s="72">
        <v>1857.41</v>
      </c>
    </row>
    <row r="20" spans="1:4" x14ac:dyDescent="0.3">
      <c r="A20" s="363"/>
      <c r="B20" s="71" t="s">
        <v>116</v>
      </c>
      <c r="C20" s="72">
        <v>2.99</v>
      </c>
    </row>
    <row r="21" spans="1:4" x14ac:dyDescent="0.3">
      <c r="A21" s="364"/>
      <c r="B21" s="364"/>
      <c r="C21" s="74">
        <f>SUM(C18:C20)</f>
        <v>2125.2199999999998</v>
      </c>
    </row>
    <row r="24" spans="1:4" x14ac:dyDescent="0.3">
      <c r="A24" s="365" t="s">
        <v>118</v>
      </c>
      <c r="B24" s="365"/>
      <c r="C24" s="365"/>
    </row>
    <row r="25" spans="1:4" ht="36" x14ac:dyDescent="0.3">
      <c r="A25" s="75" t="s">
        <v>110</v>
      </c>
      <c r="B25" s="75" t="s">
        <v>119</v>
      </c>
      <c r="C25" s="76" t="s">
        <v>120</v>
      </c>
    </row>
    <row r="26" spans="1:4" x14ac:dyDescent="0.3">
      <c r="A26" s="77" t="s">
        <v>121</v>
      </c>
      <c r="B26" s="78" t="s">
        <v>122</v>
      </c>
      <c r="C26" s="79">
        <f>C21</f>
        <v>2125.2199999999998</v>
      </c>
    </row>
    <row r="28" spans="1:4" ht="15" customHeight="1" x14ac:dyDescent="0.3"/>
    <row r="29" spans="1:4" ht="15" customHeight="1" x14ac:dyDescent="0.3">
      <c r="A29" s="362" t="s">
        <v>65</v>
      </c>
      <c r="B29" s="362"/>
      <c r="C29" s="362"/>
    </row>
    <row r="30" spans="1:4" ht="15" customHeight="1" x14ac:dyDescent="0.3">
      <c r="A30" s="14">
        <v>1</v>
      </c>
      <c r="B30" s="10" t="s">
        <v>66</v>
      </c>
      <c r="C30" s="44" t="s">
        <v>123</v>
      </c>
    </row>
    <row r="31" spans="1:4" ht="15" customHeight="1" x14ac:dyDescent="0.3">
      <c r="A31" s="14">
        <v>2</v>
      </c>
      <c r="B31" s="10" t="s">
        <v>67</v>
      </c>
      <c r="C31" s="22" t="s">
        <v>124</v>
      </c>
    </row>
    <row r="32" spans="1:4" ht="15" customHeight="1" x14ac:dyDescent="0.3">
      <c r="A32" s="14">
        <v>3</v>
      </c>
      <c r="B32" s="11" t="s">
        <v>153</v>
      </c>
      <c r="C32" s="23">
        <v>1403.85</v>
      </c>
      <c r="D32" s="51"/>
    </row>
    <row r="33" spans="1:3" ht="15" customHeight="1" x14ac:dyDescent="0.3">
      <c r="A33" s="14">
        <v>4</v>
      </c>
      <c r="B33" s="10" t="s">
        <v>68</v>
      </c>
      <c r="C33" s="9" t="s">
        <v>154</v>
      </c>
    </row>
    <row r="34" spans="1:3" ht="15" customHeight="1" x14ac:dyDescent="0.3">
      <c r="A34" s="14">
        <v>5</v>
      </c>
      <c r="B34" s="10" t="s">
        <v>69</v>
      </c>
      <c r="C34" s="12">
        <v>44927</v>
      </c>
    </row>
    <row r="37" spans="1:3" ht="13.5" thickBot="1" x14ac:dyDescent="0.35"/>
    <row r="38" spans="1:3" ht="16" thickBot="1" x14ac:dyDescent="0.35">
      <c r="A38" s="387" t="s">
        <v>6</v>
      </c>
      <c r="B38" s="388"/>
      <c r="C38" s="389"/>
    </row>
    <row r="40" spans="1:3" x14ac:dyDescent="0.3">
      <c r="A40" s="39">
        <v>1</v>
      </c>
      <c r="B40" s="39" t="s">
        <v>7</v>
      </c>
      <c r="C40" s="39" t="s">
        <v>8</v>
      </c>
    </row>
    <row r="41" spans="1:3" x14ac:dyDescent="0.3">
      <c r="A41" s="14" t="s">
        <v>9</v>
      </c>
      <c r="B41" s="25" t="s">
        <v>156</v>
      </c>
      <c r="C41" s="52">
        <f>C32</f>
        <v>1403.85</v>
      </c>
    </row>
    <row r="42" spans="1:3" ht="26" x14ac:dyDescent="0.3">
      <c r="A42" s="14" t="s">
        <v>10</v>
      </c>
      <c r="B42" s="25" t="s">
        <v>437</v>
      </c>
      <c r="C42" s="112">
        <f>(1412/100)*30</f>
        <v>423.59999999999997</v>
      </c>
    </row>
    <row r="43" spans="1:3" x14ac:dyDescent="0.3">
      <c r="A43" s="14" t="s">
        <v>11</v>
      </c>
      <c r="B43" s="25" t="s">
        <v>157</v>
      </c>
      <c r="C43" s="52">
        <v>54.31</v>
      </c>
    </row>
    <row r="44" spans="1:3" x14ac:dyDescent="0.3">
      <c r="A44" s="392" t="s">
        <v>0</v>
      </c>
      <c r="B44" s="393"/>
      <c r="C44" s="54">
        <f>SUM(C41:C43)</f>
        <v>1881.7599999999998</v>
      </c>
    </row>
    <row r="47" spans="1:3" x14ac:dyDescent="0.3">
      <c r="A47" s="394" t="s">
        <v>16</v>
      </c>
      <c r="B47" s="394"/>
      <c r="C47" s="394"/>
    </row>
    <row r="48" spans="1:3" x14ac:dyDescent="0.3">
      <c r="A48" s="15"/>
    </row>
    <row r="49" spans="1:5" x14ac:dyDescent="0.3">
      <c r="A49" s="390" t="s">
        <v>17</v>
      </c>
      <c r="B49" s="390"/>
      <c r="C49" s="390"/>
    </row>
    <row r="51" spans="1:5" x14ac:dyDescent="0.3">
      <c r="A51" s="39" t="s">
        <v>18</v>
      </c>
      <c r="B51" s="39" t="s">
        <v>19</v>
      </c>
      <c r="C51" s="39" t="s">
        <v>8</v>
      </c>
    </row>
    <row r="52" spans="1:5" x14ac:dyDescent="0.3">
      <c r="A52" s="14" t="s">
        <v>9</v>
      </c>
      <c r="B52" s="25" t="s">
        <v>84</v>
      </c>
      <c r="C52" s="52">
        <f>C44/12</f>
        <v>156.8133333333333</v>
      </c>
      <c r="D52" s="5">
        <f>C44/3</f>
        <v>627.25333333333322</v>
      </c>
    </row>
    <row r="53" spans="1:5" x14ac:dyDescent="0.3">
      <c r="A53" s="14" t="s">
        <v>10</v>
      </c>
      <c r="B53" s="25" t="s">
        <v>85</v>
      </c>
      <c r="C53" s="52">
        <f>(C44/100)*12.1</f>
        <v>227.69295999999997</v>
      </c>
      <c r="D53" s="5">
        <f>D52/12</f>
        <v>52.271111111111104</v>
      </c>
    </row>
    <row r="54" spans="1:5" x14ac:dyDescent="0.3">
      <c r="A54" s="374" t="s">
        <v>0</v>
      </c>
      <c r="B54" s="374"/>
      <c r="C54" s="54">
        <f>SUM(C52:C53)</f>
        <v>384.50629333333325</v>
      </c>
    </row>
    <row r="57" spans="1:5" ht="32.25" customHeight="1" x14ac:dyDescent="0.3">
      <c r="A57" s="396" t="s">
        <v>20</v>
      </c>
      <c r="B57" s="396"/>
      <c r="C57" s="396"/>
      <c r="D57" s="396"/>
    </row>
    <row r="59" spans="1:5" x14ac:dyDescent="0.3">
      <c r="A59" s="39" t="s">
        <v>21</v>
      </c>
      <c r="B59" s="39" t="s">
        <v>22</v>
      </c>
      <c r="C59" s="39" t="s">
        <v>23</v>
      </c>
      <c r="D59" s="39" t="s">
        <v>8</v>
      </c>
    </row>
    <row r="60" spans="1:5" x14ac:dyDescent="0.3">
      <c r="A60" s="14" t="s">
        <v>9</v>
      </c>
      <c r="B60" s="25" t="s">
        <v>88</v>
      </c>
      <c r="C60" s="33">
        <v>0.2</v>
      </c>
      <c r="D60" s="52">
        <f>(C44+C54)*C60</f>
        <v>453.25325866666662</v>
      </c>
    </row>
    <row r="61" spans="1:5" x14ac:dyDescent="0.3">
      <c r="A61" s="14" t="s">
        <v>10</v>
      </c>
      <c r="B61" s="25" t="s">
        <v>94</v>
      </c>
      <c r="C61" s="33">
        <v>2.5000000000000001E-2</v>
      </c>
      <c r="D61" s="52">
        <f>(C44+C54)*C61</f>
        <v>56.656657333333328</v>
      </c>
    </row>
    <row r="62" spans="1:5" x14ac:dyDescent="0.3">
      <c r="A62" s="14" t="s">
        <v>11</v>
      </c>
      <c r="B62" s="25" t="s">
        <v>93</v>
      </c>
      <c r="C62" s="34">
        <v>0.03</v>
      </c>
      <c r="D62" s="52">
        <f>(C44+C54)*C62</f>
        <v>67.987988799999997</v>
      </c>
      <c r="E62" s="38" t="s">
        <v>73</v>
      </c>
    </row>
    <row r="63" spans="1:5" x14ac:dyDescent="0.3">
      <c r="A63" s="14" t="s">
        <v>12</v>
      </c>
      <c r="B63" s="25" t="s">
        <v>89</v>
      </c>
      <c r="C63" s="33">
        <v>1.4999999999999999E-2</v>
      </c>
      <c r="D63" s="52">
        <f>(C44+C54)*C63</f>
        <v>33.993994399999998</v>
      </c>
    </row>
    <row r="64" spans="1:5" x14ac:dyDescent="0.3">
      <c r="A64" s="14" t="s">
        <v>13</v>
      </c>
      <c r="B64" s="25" t="s">
        <v>90</v>
      </c>
      <c r="C64" s="33">
        <v>0.01</v>
      </c>
      <c r="D64" s="52">
        <f>(C44+C54)*C64</f>
        <v>22.662662933333333</v>
      </c>
    </row>
    <row r="65" spans="1:5" x14ac:dyDescent="0.3">
      <c r="A65" s="14" t="s">
        <v>14</v>
      </c>
      <c r="B65" s="25" t="s">
        <v>91</v>
      </c>
      <c r="C65" s="33">
        <v>6.0000000000000001E-3</v>
      </c>
      <c r="D65" s="52">
        <f>(C44+C44)*C65</f>
        <v>22.581119999999999</v>
      </c>
    </row>
    <row r="66" spans="1:5" x14ac:dyDescent="0.3">
      <c r="A66" s="14" t="s">
        <v>15</v>
      </c>
      <c r="B66" s="25" t="s">
        <v>92</v>
      </c>
      <c r="C66" s="33">
        <v>2E-3</v>
      </c>
      <c r="D66" s="52">
        <f>(C44+C54)*C66</f>
        <v>4.5325325866666661</v>
      </c>
    </row>
    <row r="67" spans="1:5" x14ac:dyDescent="0.3">
      <c r="A67" s="397" t="s">
        <v>50</v>
      </c>
      <c r="B67" s="397"/>
      <c r="C67" s="35">
        <f>SUM(C60:C66)</f>
        <v>0.28800000000000003</v>
      </c>
      <c r="D67" s="53">
        <f>SUM(D60:D66)</f>
        <v>661.66821472000004</v>
      </c>
    </row>
    <row r="68" spans="1:5" x14ac:dyDescent="0.3">
      <c r="A68" s="14" t="s">
        <v>24</v>
      </c>
      <c r="B68" s="25" t="s">
        <v>95</v>
      </c>
      <c r="C68" s="33">
        <v>0.08</v>
      </c>
      <c r="D68" s="52">
        <f>(C44+C54)*C68</f>
        <v>181.30130346666667</v>
      </c>
    </row>
    <row r="69" spans="1:5" x14ac:dyDescent="0.3">
      <c r="A69" s="374" t="s">
        <v>25</v>
      </c>
      <c r="B69" s="374"/>
      <c r="C69" s="36">
        <f>SUM(C67:C68)</f>
        <v>0.36800000000000005</v>
      </c>
      <c r="D69" s="54">
        <f>SUM(D67:D68)</f>
        <v>842.96951818666673</v>
      </c>
    </row>
    <row r="72" spans="1:5" x14ac:dyDescent="0.3">
      <c r="A72" s="390" t="s">
        <v>26</v>
      </c>
      <c r="B72" s="390"/>
      <c r="C72" s="390"/>
    </row>
    <row r="74" spans="1:5" x14ac:dyDescent="0.3">
      <c r="A74" s="39" t="s">
        <v>27</v>
      </c>
      <c r="B74" s="39" t="s">
        <v>28</v>
      </c>
      <c r="C74" s="39" t="s">
        <v>8</v>
      </c>
    </row>
    <row r="75" spans="1:5" x14ac:dyDescent="0.3">
      <c r="A75" s="14" t="s">
        <v>9</v>
      </c>
      <c r="B75" s="25" t="s">
        <v>385</v>
      </c>
      <c r="C75" s="64">
        <v>0</v>
      </c>
      <c r="D75" s="244"/>
      <c r="E75" s="20"/>
    </row>
    <row r="76" spans="1:5" x14ac:dyDescent="0.3">
      <c r="A76" s="14" t="s">
        <v>10</v>
      </c>
      <c r="B76" s="25" t="s">
        <v>159</v>
      </c>
      <c r="C76" s="52">
        <f>(19.9*22)-(437.8/100)*5</f>
        <v>415.90999999999997</v>
      </c>
      <c r="D76" s="17"/>
    </row>
    <row r="77" spans="1:5" x14ac:dyDescent="0.3">
      <c r="A77" s="14" t="s">
        <v>11</v>
      </c>
      <c r="B77" s="1" t="s">
        <v>158</v>
      </c>
      <c r="C77" s="83">
        <v>49</v>
      </c>
    </row>
    <row r="78" spans="1:5" x14ac:dyDescent="0.3">
      <c r="A78" s="14" t="s">
        <v>12</v>
      </c>
      <c r="B78" s="25" t="s">
        <v>155</v>
      </c>
      <c r="C78" s="52">
        <v>140.61000000000001</v>
      </c>
    </row>
    <row r="79" spans="1:5" x14ac:dyDescent="0.3">
      <c r="A79" s="374" t="s">
        <v>0</v>
      </c>
      <c r="B79" s="374"/>
      <c r="C79" s="54">
        <f>SUM(C75:C78)</f>
        <v>605.52</v>
      </c>
    </row>
    <row r="82" spans="1:3" x14ac:dyDescent="0.3">
      <c r="A82" s="390" t="s">
        <v>29</v>
      </c>
      <c r="B82" s="390"/>
      <c r="C82" s="390"/>
    </row>
    <row r="84" spans="1:3" x14ac:dyDescent="0.3">
      <c r="A84" s="39">
        <v>2</v>
      </c>
      <c r="B84" s="39" t="s">
        <v>30</v>
      </c>
      <c r="C84" s="39" t="s">
        <v>8</v>
      </c>
    </row>
    <row r="85" spans="1:3" x14ac:dyDescent="0.3">
      <c r="A85" s="14" t="s">
        <v>18</v>
      </c>
      <c r="B85" s="25" t="s">
        <v>19</v>
      </c>
      <c r="C85" s="55">
        <f>C54</f>
        <v>384.50629333333325</v>
      </c>
    </row>
    <row r="86" spans="1:3" x14ac:dyDescent="0.3">
      <c r="A86" s="14" t="s">
        <v>21</v>
      </c>
      <c r="B86" s="25" t="s">
        <v>22</v>
      </c>
      <c r="C86" s="55">
        <f>D69</f>
        <v>842.96951818666673</v>
      </c>
    </row>
    <row r="87" spans="1:3" x14ac:dyDescent="0.3">
      <c r="A87" s="14" t="s">
        <v>27</v>
      </c>
      <c r="B87" s="25" t="s">
        <v>28</v>
      </c>
      <c r="C87" s="55">
        <f>C79</f>
        <v>605.52</v>
      </c>
    </row>
    <row r="88" spans="1:3" x14ac:dyDescent="0.3">
      <c r="A88" s="374" t="s">
        <v>0</v>
      </c>
      <c r="B88" s="374"/>
      <c r="C88" s="56">
        <f>SUM(C85:C87)</f>
        <v>1832.99581152</v>
      </c>
    </row>
    <row r="89" spans="1:3" x14ac:dyDescent="0.3">
      <c r="A89" s="16"/>
    </row>
    <row r="90" spans="1:3" ht="13.5" thickBot="1" x14ac:dyDescent="0.35"/>
    <row r="91" spans="1:3" ht="13.5" thickBot="1" x14ac:dyDescent="0.35">
      <c r="A91" s="398" t="s">
        <v>31</v>
      </c>
      <c r="B91" s="399"/>
      <c r="C91" s="400"/>
    </row>
    <row r="93" spans="1:3" x14ac:dyDescent="0.3">
      <c r="A93" s="39">
        <v>3</v>
      </c>
      <c r="B93" s="39" t="s">
        <v>32</v>
      </c>
      <c r="C93" s="39" t="s">
        <v>8</v>
      </c>
    </row>
    <row r="94" spans="1:3" x14ac:dyDescent="0.3">
      <c r="A94" s="14" t="s">
        <v>9</v>
      </c>
      <c r="B94" s="31" t="s">
        <v>71</v>
      </c>
      <c r="C94" s="52">
        <f>(C44/100)*1.81</f>
        <v>34.059855999999996</v>
      </c>
    </row>
    <row r="95" spans="1:3" x14ac:dyDescent="0.3">
      <c r="A95" s="14" t="s">
        <v>10</v>
      </c>
      <c r="B95" s="31" t="s">
        <v>72</v>
      </c>
      <c r="C95" s="52">
        <f>(C44/100)*0.14</f>
        <v>2.6344639999999999</v>
      </c>
    </row>
    <row r="96" spans="1:3" ht="26" x14ac:dyDescent="0.3">
      <c r="A96" s="14" t="s">
        <v>11</v>
      </c>
      <c r="B96" s="31" t="s">
        <v>75</v>
      </c>
      <c r="C96" s="52">
        <f>(C44/100)*4.05</f>
        <v>76.211279999999988</v>
      </c>
    </row>
    <row r="97" spans="1:4" x14ac:dyDescent="0.3">
      <c r="A97" s="401" t="s">
        <v>51</v>
      </c>
      <c r="B97" s="402"/>
      <c r="C97" s="54">
        <f>SUM(C94:C96)</f>
        <v>112.90559999999999</v>
      </c>
    </row>
    <row r="98" spans="1:4" ht="32.15" customHeight="1" x14ac:dyDescent="0.3">
      <c r="A98" s="14" t="s">
        <v>12</v>
      </c>
      <c r="B98" s="32" t="s">
        <v>76</v>
      </c>
      <c r="C98" s="57">
        <f>(C44/100)*0.194</f>
        <v>3.6506143999999998</v>
      </c>
    </row>
    <row r="99" spans="1:4" ht="26" x14ac:dyDescent="0.3">
      <c r="A99" s="14" t="s">
        <v>13</v>
      </c>
      <c r="B99" s="67" t="s">
        <v>77</v>
      </c>
      <c r="C99" s="57">
        <f>(C44/100)*0.7</f>
        <v>13.172319999999999</v>
      </c>
      <c r="D99" s="45"/>
    </row>
    <row r="100" spans="1:4" ht="26" x14ac:dyDescent="0.3">
      <c r="A100" s="42" t="s">
        <v>14</v>
      </c>
      <c r="B100" s="46" t="s">
        <v>78</v>
      </c>
      <c r="C100" s="66">
        <f>(C44/100)*0.45</f>
        <v>8.4679199999999994</v>
      </c>
    </row>
    <row r="101" spans="1:4" x14ac:dyDescent="0.3">
      <c r="A101" s="401" t="s">
        <v>52</v>
      </c>
      <c r="B101" s="403"/>
      <c r="C101" s="54">
        <f>SUM(C98:C100)</f>
        <v>25.290854399999997</v>
      </c>
    </row>
    <row r="102" spans="1:4" x14ac:dyDescent="0.3">
      <c r="A102" s="395" t="s">
        <v>53</v>
      </c>
      <c r="B102" s="395"/>
      <c r="C102" s="65">
        <f>C97+C101</f>
        <v>138.19645439999999</v>
      </c>
    </row>
    <row r="104" spans="1:4" ht="13.5" thickBot="1" x14ac:dyDescent="0.35"/>
    <row r="105" spans="1:4" ht="16" thickBot="1" x14ac:dyDescent="0.35">
      <c r="A105" s="387" t="s">
        <v>33</v>
      </c>
      <c r="B105" s="388"/>
      <c r="C105" s="389"/>
    </row>
    <row r="107" spans="1:4" x14ac:dyDescent="0.3">
      <c r="A107" s="390" t="s">
        <v>34</v>
      </c>
      <c r="B107" s="390"/>
      <c r="C107" s="390"/>
    </row>
    <row r="108" spans="1:4" x14ac:dyDescent="0.3">
      <c r="A108" s="15"/>
    </row>
    <row r="109" spans="1:4" x14ac:dyDescent="0.3">
      <c r="A109" s="39" t="s">
        <v>35</v>
      </c>
      <c r="B109" s="43" t="s">
        <v>36</v>
      </c>
      <c r="C109" s="39" t="s">
        <v>8</v>
      </c>
    </row>
    <row r="110" spans="1:4" ht="26" x14ac:dyDescent="0.3">
      <c r="A110" s="42" t="s">
        <v>9</v>
      </c>
      <c r="B110" s="46" t="s">
        <v>79</v>
      </c>
      <c r="C110" s="58">
        <f>(C44/100)*0.95</f>
        <v>17.876719999999999</v>
      </c>
      <c r="D110" s="20"/>
    </row>
    <row r="111" spans="1:4" ht="26" x14ac:dyDescent="0.3">
      <c r="A111" s="42" t="s">
        <v>10</v>
      </c>
      <c r="B111" s="46" t="s">
        <v>80</v>
      </c>
      <c r="C111" s="58">
        <f>(C44/100)*4.17</f>
        <v>78.469391999999999</v>
      </c>
      <c r="D111" s="19"/>
    </row>
    <row r="112" spans="1:4" x14ac:dyDescent="0.3">
      <c r="A112" s="42" t="s">
        <v>11</v>
      </c>
      <c r="B112" s="47" t="s">
        <v>81</v>
      </c>
      <c r="C112" s="58">
        <f>(C44/100)*0.1</f>
        <v>1.8817599999999999</v>
      </c>
    </row>
    <row r="113" spans="1:3" ht="26" x14ac:dyDescent="0.3">
      <c r="A113" s="42" t="s">
        <v>12</v>
      </c>
      <c r="B113" s="47" t="s">
        <v>82</v>
      </c>
      <c r="C113" s="58">
        <f>(C44/100)*0.63</f>
        <v>11.855087999999999</v>
      </c>
    </row>
    <row r="114" spans="1:3" ht="26" x14ac:dyDescent="0.3">
      <c r="A114" s="42" t="s">
        <v>13</v>
      </c>
      <c r="B114" s="47" t="s">
        <v>83</v>
      </c>
      <c r="C114" s="58">
        <f>(C44/100)*0.02</f>
        <v>0.37635199999999996</v>
      </c>
    </row>
    <row r="115" spans="1:3" ht="26" x14ac:dyDescent="0.3">
      <c r="A115" s="42" t="s">
        <v>14</v>
      </c>
      <c r="B115" s="47" t="s">
        <v>96</v>
      </c>
      <c r="C115" s="58">
        <f>(C44/100)*9.68</f>
        <v>182.15436799999998</v>
      </c>
    </row>
    <row r="116" spans="1:3" x14ac:dyDescent="0.3">
      <c r="A116" s="374" t="s">
        <v>25</v>
      </c>
      <c r="B116" s="391"/>
      <c r="C116" s="56">
        <f>SUM(C110:C115)</f>
        <v>292.61367999999999</v>
      </c>
    </row>
    <row r="119" spans="1:3" x14ac:dyDescent="0.3">
      <c r="A119" s="390" t="s">
        <v>37</v>
      </c>
      <c r="B119" s="390"/>
      <c r="C119" s="390"/>
    </row>
    <row r="120" spans="1:3" x14ac:dyDescent="0.3">
      <c r="A120" s="15"/>
    </row>
    <row r="121" spans="1:3" x14ac:dyDescent="0.3">
      <c r="A121" s="39">
        <v>4</v>
      </c>
      <c r="B121" s="40" t="s">
        <v>38</v>
      </c>
      <c r="C121" s="39" t="s">
        <v>8</v>
      </c>
    </row>
    <row r="122" spans="1:3" x14ac:dyDescent="0.3">
      <c r="A122" s="14" t="s">
        <v>35</v>
      </c>
      <c r="B122" s="25" t="s">
        <v>36</v>
      </c>
      <c r="C122" s="55">
        <f>C116</f>
        <v>292.61367999999999</v>
      </c>
    </row>
    <row r="123" spans="1:3" x14ac:dyDescent="0.3">
      <c r="A123" s="374" t="s">
        <v>0</v>
      </c>
      <c r="B123" s="374"/>
      <c r="C123" s="56">
        <f>SUM(C122:C122)</f>
        <v>292.61367999999999</v>
      </c>
    </row>
    <row r="125" spans="1:3" ht="13.5" thickBot="1" x14ac:dyDescent="0.35"/>
    <row r="126" spans="1:3" ht="16" thickBot="1" x14ac:dyDescent="0.35">
      <c r="A126" s="387" t="s">
        <v>39</v>
      </c>
      <c r="B126" s="388"/>
      <c r="C126" s="389"/>
    </row>
    <row r="128" spans="1:3" x14ac:dyDescent="0.3">
      <c r="A128" s="39">
        <v>5</v>
      </c>
      <c r="B128" s="24" t="s">
        <v>1</v>
      </c>
      <c r="C128" s="39" t="s">
        <v>8</v>
      </c>
    </row>
    <row r="129" spans="1:5" x14ac:dyDescent="0.3">
      <c r="A129" s="14" t="s">
        <v>9</v>
      </c>
      <c r="B129" s="25" t="s">
        <v>40</v>
      </c>
      <c r="C129" s="29">
        <f>UNIFORMES!F10</f>
        <v>53.034166666666664</v>
      </c>
    </row>
    <row r="130" spans="1:5" x14ac:dyDescent="0.3">
      <c r="A130" s="14" t="s">
        <v>10</v>
      </c>
      <c r="B130" s="25" t="s">
        <v>41</v>
      </c>
      <c r="C130" s="305">
        <f>MATERIAIS!F216</f>
        <v>426.05</v>
      </c>
    </row>
    <row r="131" spans="1:5" x14ac:dyDescent="0.3">
      <c r="A131" s="14" t="s">
        <v>11</v>
      </c>
      <c r="B131" s="25" t="s">
        <v>125</v>
      </c>
      <c r="C131" s="305">
        <f>UTENSÍLIOS!F257</f>
        <v>78.523749999999993</v>
      </c>
    </row>
    <row r="132" spans="1:5" x14ac:dyDescent="0.3">
      <c r="A132" s="14" t="s">
        <v>12</v>
      </c>
      <c r="B132" s="25" t="s">
        <v>70</v>
      </c>
      <c r="C132" s="305">
        <f>'EQUIPAMENTOS '!F52</f>
        <v>6.7530000000000001</v>
      </c>
    </row>
    <row r="133" spans="1:5" x14ac:dyDescent="0.3">
      <c r="A133" s="374" t="s">
        <v>25</v>
      </c>
      <c r="B133" s="374"/>
      <c r="C133" s="30">
        <f>SUM(C129:C132)</f>
        <v>564.36091666666664</v>
      </c>
    </row>
    <row r="135" spans="1:5" ht="13.5" thickBot="1" x14ac:dyDescent="0.35"/>
    <row r="136" spans="1:5" ht="16" thickBot="1" x14ac:dyDescent="0.35">
      <c r="A136" s="387" t="s">
        <v>42</v>
      </c>
      <c r="B136" s="388"/>
      <c r="C136" s="388"/>
      <c r="D136" s="389"/>
    </row>
    <row r="138" spans="1:5" x14ac:dyDescent="0.3">
      <c r="A138" s="39">
        <v>6</v>
      </c>
      <c r="B138" s="24" t="s">
        <v>2</v>
      </c>
      <c r="C138" s="39" t="s">
        <v>23</v>
      </c>
      <c r="D138" s="39" t="s">
        <v>8</v>
      </c>
    </row>
    <row r="139" spans="1:5" x14ac:dyDescent="0.3">
      <c r="A139" s="14" t="s">
        <v>9</v>
      </c>
      <c r="B139" s="25" t="s">
        <v>3</v>
      </c>
      <c r="C139" s="26">
        <v>0.06</v>
      </c>
      <c r="D139" s="55">
        <f>(C44+C88+C102+C123+C133)*C139</f>
        <v>282.59561175520003</v>
      </c>
    </row>
    <row r="140" spans="1:5" x14ac:dyDescent="0.3">
      <c r="A140" s="14" t="s">
        <v>10</v>
      </c>
      <c r="B140" s="25" t="s">
        <v>5</v>
      </c>
      <c r="C140" s="26">
        <v>6.7900000000000002E-2</v>
      </c>
      <c r="D140" s="55">
        <f>(C44+C88+C102+C123+C133)*C140</f>
        <v>319.8040339696347</v>
      </c>
    </row>
    <row r="141" spans="1:5" x14ac:dyDescent="0.3">
      <c r="A141" s="14" t="s">
        <v>11</v>
      </c>
      <c r="B141" s="25" t="s">
        <v>4</v>
      </c>
      <c r="C141" s="26"/>
      <c r="D141" s="55"/>
    </row>
    <row r="142" spans="1:5" x14ac:dyDescent="0.3">
      <c r="A142" s="14"/>
      <c r="B142" s="25" t="s">
        <v>48</v>
      </c>
      <c r="C142" s="41">
        <v>1.6500000000000001E-2</v>
      </c>
      <c r="D142" s="55">
        <f>(C44+C88+C102+C123+C133)*C142</f>
        <v>77.713793232680004</v>
      </c>
      <c r="E142" s="38" t="s">
        <v>74</v>
      </c>
    </row>
    <row r="143" spans="1:5" x14ac:dyDescent="0.3">
      <c r="A143" s="14"/>
      <c r="B143" s="25" t="s">
        <v>49</v>
      </c>
      <c r="C143" s="41">
        <v>7.5999999999999998E-2</v>
      </c>
      <c r="D143" s="55">
        <f>(C44+C88+C102+C123+C133)*C143</f>
        <v>357.95444155658669</v>
      </c>
      <c r="E143" s="38" t="s">
        <v>74</v>
      </c>
    </row>
    <row r="144" spans="1:5" x14ac:dyDescent="0.3">
      <c r="A144" s="14"/>
      <c r="B144" s="25" t="s">
        <v>43</v>
      </c>
      <c r="C144" s="26"/>
      <c r="D144" s="55"/>
    </row>
    <row r="145" spans="1:6" x14ac:dyDescent="0.3">
      <c r="A145" s="14"/>
      <c r="B145" s="25" t="s">
        <v>404</v>
      </c>
      <c r="C145" s="245">
        <v>0.05</v>
      </c>
      <c r="D145" s="243">
        <f>(C44+C88+C102+C123+C133)*C145</f>
        <v>235.49634312933335</v>
      </c>
    </row>
    <row r="146" spans="1:6" x14ac:dyDescent="0.3">
      <c r="A146" s="14"/>
      <c r="B146" s="25" t="s">
        <v>55</v>
      </c>
      <c r="C146" s="27">
        <f>SUM(C139:C145)</f>
        <v>0.27040000000000003</v>
      </c>
      <c r="D146" s="55">
        <f>(C44+C88+C102+C123+C133)*C146</f>
        <v>1273.5642236434348</v>
      </c>
      <c r="E146" s="18"/>
      <c r="F146" s="19"/>
    </row>
    <row r="147" spans="1:6" x14ac:dyDescent="0.3">
      <c r="A147" s="374" t="s">
        <v>25</v>
      </c>
      <c r="B147" s="374"/>
      <c r="C147" s="26"/>
      <c r="D147" s="56">
        <f>D146</f>
        <v>1273.5642236434348</v>
      </c>
    </row>
    <row r="149" spans="1:6" ht="13.5" thickBot="1" x14ac:dyDescent="0.35"/>
    <row r="150" spans="1:6" ht="16" thickBot="1" x14ac:dyDescent="0.35">
      <c r="A150" s="371" t="s">
        <v>44</v>
      </c>
      <c r="B150" s="372"/>
      <c r="C150" s="373"/>
    </row>
    <row r="152" spans="1:6" x14ac:dyDescent="0.3">
      <c r="A152" s="39"/>
      <c r="B152" s="39" t="s">
        <v>45</v>
      </c>
      <c r="C152" s="39" t="s">
        <v>8</v>
      </c>
    </row>
    <row r="153" spans="1:6" x14ac:dyDescent="0.3">
      <c r="A153" s="39" t="s">
        <v>9</v>
      </c>
      <c r="B153" s="25" t="s">
        <v>6</v>
      </c>
      <c r="C153" s="60">
        <f>C44</f>
        <v>1881.7599999999998</v>
      </c>
    </row>
    <row r="154" spans="1:6" x14ac:dyDescent="0.3">
      <c r="A154" s="39" t="s">
        <v>10</v>
      </c>
      <c r="B154" s="25" t="s">
        <v>16</v>
      </c>
      <c r="C154" s="60">
        <f>C88</f>
        <v>1832.99581152</v>
      </c>
    </row>
    <row r="155" spans="1:6" x14ac:dyDescent="0.3">
      <c r="A155" s="39" t="s">
        <v>11</v>
      </c>
      <c r="B155" s="25" t="s">
        <v>31</v>
      </c>
      <c r="C155" s="60">
        <f>C102</f>
        <v>138.19645439999999</v>
      </c>
    </row>
    <row r="156" spans="1:6" x14ac:dyDescent="0.3">
      <c r="A156" s="39" t="s">
        <v>12</v>
      </c>
      <c r="B156" s="28" t="s">
        <v>33</v>
      </c>
      <c r="C156" s="60">
        <f>C123</f>
        <v>292.61367999999999</v>
      </c>
    </row>
    <row r="157" spans="1:6" x14ac:dyDescent="0.3">
      <c r="A157" s="39" t="s">
        <v>13</v>
      </c>
      <c r="B157" s="25" t="s">
        <v>39</v>
      </c>
      <c r="C157" s="60">
        <f>C133</f>
        <v>564.36091666666664</v>
      </c>
    </row>
    <row r="158" spans="1:6" x14ac:dyDescent="0.3">
      <c r="A158" s="374" t="s">
        <v>46</v>
      </c>
      <c r="B158" s="374"/>
      <c r="C158" s="61">
        <f>SUM(C153:C157)</f>
        <v>4709.9268625866671</v>
      </c>
    </row>
    <row r="159" spans="1:6" x14ac:dyDescent="0.3">
      <c r="A159" s="39" t="s">
        <v>14</v>
      </c>
      <c r="B159" s="25" t="s">
        <v>47</v>
      </c>
      <c r="C159" s="60">
        <f>D147</f>
        <v>1273.5642236434348</v>
      </c>
    </row>
    <row r="160" spans="1:6" x14ac:dyDescent="0.3">
      <c r="A160" s="374" t="s">
        <v>160</v>
      </c>
      <c r="B160" s="374"/>
      <c r="C160" s="62">
        <f>C158+C159</f>
        <v>5983.4910862301022</v>
      </c>
      <c r="D160" s="17"/>
    </row>
    <row r="161" spans="1:5" x14ac:dyDescent="0.3">
      <c r="A161" s="375" t="s">
        <v>56</v>
      </c>
      <c r="B161" s="376"/>
      <c r="C161" s="63">
        <f>12*C160</f>
        <v>71801.893034761219</v>
      </c>
      <c r="D161" s="17"/>
    </row>
    <row r="162" spans="1:5" x14ac:dyDescent="0.3">
      <c r="A162" s="383" t="s">
        <v>142</v>
      </c>
      <c r="B162" s="384"/>
      <c r="C162" s="62">
        <f>2*C161</f>
        <v>143603.78606952244</v>
      </c>
      <c r="D162" s="17"/>
    </row>
    <row r="163" spans="1:5" s="50" customFormat="1" ht="13.5" thickBot="1" x14ac:dyDescent="0.35">
      <c r="A163" s="380" t="s">
        <v>97</v>
      </c>
      <c r="B163" s="381"/>
      <c r="C163" s="382"/>
      <c r="D163" s="48"/>
      <c r="E163" s="49"/>
    </row>
    <row r="164" spans="1:5" s="50" customFormat="1" ht="91.4" customHeight="1" thickBot="1" x14ac:dyDescent="0.35">
      <c r="A164" s="377" t="s">
        <v>86</v>
      </c>
      <c r="B164" s="378"/>
      <c r="C164" s="379"/>
    </row>
  </sheetData>
  <mergeCells count="42">
    <mergeCell ref="A44:B44"/>
    <mergeCell ref="A1:C1"/>
    <mergeCell ref="A2:C2"/>
    <mergeCell ref="A4:C4"/>
    <mergeCell ref="A5:C5"/>
    <mergeCell ref="A6:C6"/>
    <mergeCell ref="A10:C10"/>
    <mergeCell ref="A18:A20"/>
    <mergeCell ref="A21:B21"/>
    <mergeCell ref="A24:C24"/>
    <mergeCell ref="A29:C29"/>
    <mergeCell ref="A38:C38"/>
    <mergeCell ref="A97:B97"/>
    <mergeCell ref="A47:C47"/>
    <mergeCell ref="A49:C49"/>
    <mergeCell ref="A54:B54"/>
    <mergeCell ref="A57:D57"/>
    <mergeCell ref="A67:B67"/>
    <mergeCell ref="A69:B69"/>
    <mergeCell ref="A72:C72"/>
    <mergeCell ref="A79:B79"/>
    <mergeCell ref="A82:C82"/>
    <mergeCell ref="A88:B88"/>
    <mergeCell ref="A91:C91"/>
    <mergeCell ref="A150:C150"/>
    <mergeCell ref="A101:B101"/>
    <mergeCell ref="A102:B102"/>
    <mergeCell ref="A105:C105"/>
    <mergeCell ref="A107:C107"/>
    <mergeCell ref="A116:B116"/>
    <mergeCell ref="A119:C119"/>
    <mergeCell ref="A123:B123"/>
    <mergeCell ref="A126:C126"/>
    <mergeCell ref="A133:B133"/>
    <mergeCell ref="A136:D136"/>
    <mergeCell ref="A147:B147"/>
    <mergeCell ref="A164:C164"/>
    <mergeCell ref="A158:B158"/>
    <mergeCell ref="A160:B160"/>
    <mergeCell ref="A161:B161"/>
    <mergeCell ref="A162:B162"/>
    <mergeCell ref="A163:C163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93"/>
  <sheetViews>
    <sheetView showGridLines="0" workbookViewId="0">
      <selection sqref="A1:G1"/>
    </sheetView>
  </sheetViews>
  <sheetFormatPr defaultColWidth="9.26953125" defaultRowHeight="13" x14ac:dyDescent="0.3"/>
  <cols>
    <col min="1" max="1" width="66.08984375" style="5" bestFit="1" customWidth="1"/>
    <col min="2" max="2" width="14.1796875" style="5" bestFit="1" customWidth="1"/>
    <col min="3" max="3" width="15.6328125" style="5" bestFit="1" customWidth="1"/>
    <col min="4" max="4" width="20.26953125" style="5" bestFit="1" customWidth="1"/>
    <col min="5" max="5" width="18.453125" style="5" customWidth="1"/>
    <col min="6" max="6" width="17.1796875" style="5" bestFit="1" customWidth="1"/>
    <col min="7" max="7" width="13.1796875" style="5" bestFit="1" customWidth="1"/>
    <col min="8" max="16384" width="9.26953125" style="5"/>
  </cols>
  <sheetData>
    <row r="1" spans="1:7" customFormat="1" ht="14.5" x14ac:dyDescent="0.35">
      <c r="A1" s="420" t="s">
        <v>163</v>
      </c>
      <c r="B1" s="420"/>
      <c r="C1" s="420"/>
      <c r="D1" s="420"/>
      <c r="E1" s="420"/>
      <c r="F1" s="420"/>
      <c r="G1" s="420"/>
    </row>
    <row r="2" spans="1:7" customFormat="1" ht="52" x14ac:dyDescent="0.35">
      <c r="A2" s="85" t="s">
        <v>126</v>
      </c>
      <c r="B2" s="86" t="s">
        <v>127</v>
      </c>
      <c r="C2" s="39" t="s">
        <v>128</v>
      </c>
      <c r="D2" s="39" t="s">
        <v>129</v>
      </c>
      <c r="E2" s="39" t="s">
        <v>130</v>
      </c>
      <c r="F2" s="39" t="s">
        <v>131</v>
      </c>
      <c r="G2" s="87" t="s">
        <v>132</v>
      </c>
    </row>
    <row r="3" spans="1:7" customFormat="1" ht="14.5" x14ac:dyDescent="0.35">
      <c r="A3" s="115" t="s">
        <v>164</v>
      </c>
      <c r="B3" s="80" t="s">
        <v>165</v>
      </c>
      <c r="C3" s="116">
        <v>36.9</v>
      </c>
      <c r="D3" s="80">
        <v>1200</v>
      </c>
      <c r="E3" s="82">
        <f>D3*7</f>
        <v>8400</v>
      </c>
      <c r="F3" s="95">
        <f t="shared" ref="F3:F8" si="0">(C3*D3)/E3</f>
        <v>5.2714285714285714</v>
      </c>
      <c r="G3" s="89">
        <f t="shared" ref="G3:G8" si="1">F3/D3</f>
        <v>4.3928571428571428E-3</v>
      </c>
    </row>
    <row r="4" spans="1:7" customFormat="1" ht="14.5" x14ac:dyDescent="0.35">
      <c r="A4" s="115" t="s">
        <v>166</v>
      </c>
      <c r="B4" s="80" t="s">
        <v>167</v>
      </c>
      <c r="C4" s="116">
        <v>656.7</v>
      </c>
      <c r="D4" s="80">
        <v>1000</v>
      </c>
      <c r="E4" s="82">
        <f>D4*0.25</f>
        <v>250</v>
      </c>
      <c r="F4" s="82">
        <f t="shared" si="0"/>
        <v>2626.8</v>
      </c>
      <c r="G4" s="82">
        <f t="shared" si="1"/>
        <v>2.6268000000000002</v>
      </c>
    </row>
    <row r="5" spans="1:7" customFormat="1" ht="14.5" x14ac:dyDescent="0.35">
      <c r="A5" s="115" t="s">
        <v>168</v>
      </c>
      <c r="B5" s="80" t="s">
        <v>169</v>
      </c>
      <c r="C5" s="116">
        <v>136.1</v>
      </c>
      <c r="D5" s="80">
        <v>1200</v>
      </c>
      <c r="E5" s="82">
        <f>D5*1</f>
        <v>1200</v>
      </c>
      <c r="F5" s="82">
        <f t="shared" si="0"/>
        <v>136.1</v>
      </c>
      <c r="G5" s="82">
        <f t="shared" si="1"/>
        <v>0.11341666666666667</v>
      </c>
    </row>
    <row r="6" spans="1:7" customFormat="1" ht="14.5" x14ac:dyDescent="0.35">
      <c r="A6" s="115" t="s">
        <v>170</v>
      </c>
      <c r="B6" s="80" t="s">
        <v>165</v>
      </c>
      <c r="C6" s="116">
        <v>498</v>
      </c>
      <c r="D6" s="80">
        <v>1200</v>
      </c>
      <c r="E6" s="82">
        <f>D6*7</f>
        <v>8400</v>
      </c>
      <c r="F6" s="82">
        <f t="shared" si="0"/>
        <v>71.142857142857139</v>
      </c>
      <c r="G6" s="82">
        <f t="shared" si="1"/>
        <v>5.9285714285714282E-2</v>
      </c>
    </row>
    <row r="7" spans="1:7" customFormat="1" ht="14.5" x14ac:dyDescent="0.35">
      <c r="A7" s="115" t="s">
        <v>171</v>
      </c>
      <c r="B7" s="90" t="s">
        <v>172</v>
      </c>
      <c r="C7" s="116">
        <v>494.6</v>
      </c>
      <c r="D7" s="80">
        <v>1200</v>
      </c>
      <c r="E7" s="82">
        <f>D7*0.5</f>
        <v>600</v>
      </c>
      <c r="F7" s="82">
        <f t="shared" si="0"/>
        <v>989.2</v>
      </c>
      <c r="G7" s="82">
        <f t="shared" si="1"/>
        <v>0.82433333333333336</v>
      </c>
    </row>
    <row r="8" spans="1:7" customFormat="1" ht="14.5" x14ac:dyDescent="0.35">
      <c r="A8" s="115" t="s">
        <v>173</v>
      </c>
      <c r="B8" s="90" t="s">
        <v>174</v>
      </c>
      <c r="C8" s="116">
        <v>3970.8</v>
      </c>
      <c r="D8" s="80">
        <v>1000</v>
      </c>
      <c r="E8" s="82">
        <f>D8*1</f>
        <v>1000</v>
      </c>
      <c r="F8" s="82">
        <f t="shared" si="0"/>
        <v>3970.8</v>
      </c>
      <c r="G8" s="82">
        <f t="shared" si="1"/>
        <v>3.9708000000000001</v>
      </c>
    </row>
    <row r="9" spans="1:7" customFormat="1" ht="14.5" x14ac:dyDescent="0.35">
      <c r="A9" s="421"/>
      <c r="B9" s="422"/>
      <c r="C9" s="91">
        <f>SUM(C3:C8)</f>
        <v>5793.1</v>
      </c>
      <c r="D9" s="5"/>
      <c r="E9" s="5"/>
      <c r="F9" s="92">
        <f>SUM(F3:F8)</f>
        <v>7799.3142857142866</v>
      </c>
      <c r="G9" s="93">
        <f>SUM(G3:G8)</f>
        <v>7.5990285714285726</v>
      </c>
    </row>
    <row r="10" spans="1:7" customFormat="1" ht="14.5" x14ac:dyDescent="0.35">
      <c r="A10" s="5"/>
      <c r="B10" s="5"/>
      <c r="C10" s="5"/>
      <c r="D10" s="5"/>
      <c r="E10" s="5"/>
      <c r="F10" s="5"/>
      <c r="G10" s="5"/>
    </row>
    <row r="11" spans="1:7" customFormat="1" ht="14.5" x14ac:dyDescent="0.35">
      <c r="A11" s="5"/>
      <c r="B11" s="5"/>
      <c r="C11" s="5"/>
      <c r="D11" s="5"/>
      <c r="E11" s="5"/>
      <c r="F11" s="5"/>
      <c r="G11" s="5"/>
    </row>
    <row r="12" spans="1:7" customFormat="1" ht="14.5" x14ac:dyDescent="0.35">
      <c r="A12" s="5"/>
      <c r="B12" s="5"/>
      <c r="C12" s="5"/>
      <c r="D12" s="5"/>
      <c r="E12" s="5"/>
      <c r="F12" s="5"/>
      <c r="G12" s="5"/>
    </row>
    <row r="13" spans="1:7" customFormat="1" ht="52" x14ac:dyDescent="0.35">
      <c r="A13" s="94" t="s">
        <v>133</v>
      </c>
      <c r="B13" s="86" t="s">
        <v>127</v>
      </c>
      <c r="C13" s="39" t="s">
        <v>128</v>
      </c>
      <c r="D13" s="39" t="s">
        <v>129</v>
      </c>
      <c r="E13" s="39" t="s">
        <v>130</v>
      </c>
      <c r="F13" s="39" t="s">
        <v>134</v>
      </c>
      <c r="G13" s="39" t="s">
        <v>135</v>
      </c>
    </row>
    <row r="14" spans="1:7" customFormat="1" ht="14.5" x14ac:dyDescent="0.35">
      <c r="A14" s="117" t="s">
        <v>175</v>
      </c>
      <c r="B14" s="104" t="s">
        <v>165</v>
      </c>
      <c r="C14" s="80">
        <v>509</v>
      </c>
      <c r="D14" s="88">
        <v>2700</v>
      </c>
      <c r="E14" s="88">
        <f>D14*7</f>
        <v>18900</v>
      </c>
      <c r="F14" s="95">
        <f>(C14*D14)/E14</f>
        <v>72.714285714285708</v>
      </c>
      <c r="G14" s="89">
        <f>F14/D14</f>
        <v>2.6931216931216927E-2</v>
      </c>
    </row>
    <row r="15" spans="1:7" customFormat="1" ht="14.5" x14ac:dyDescent="0.35">
      <c r="A15" s="117" t="s">
        <v>176</v>
      </c>
      <c r="B15" s="104" t="s">
        <v>174</v>
      </c>
      <c r="C15" s="80">
        <v>650</v>
      </c>
      <c r="D15" s="88">
        <v>2700</v>
      </c>
      <c r="E15" s="88">
        <f>D15*1</f>
        <v>2700</v>
      </c>
      <c r="F15" s="95">
        <f>(C15*D15)/E15</f>
        <v>650</v>
      </c>
      <c r="G15" s="89">
        <f>F15/D15</f>
        <v>0.24074074074074073</v>
      </c>
    </row>
    <row r="16" spans="1:7" customFormat="1" ht="14.5" x14ac:dyDescent="0.35">
      <c r="A16" s="117" t="s">
        <v>177</v>
      </c>
      <c r="B16" s="104" t="s">
        <v>174</v>
      </c>
      <c r="C16" s="80">
        <v>200</v>
      </c>
      <c r="D16" s="88">
        <v>2700</v>
      </c>
      <c r="E16" s="88">
        <f>D16*1</f>
        <v>2700</v>
      </c>
      <c r="F16" s="80">
        <f>(C16*D16)/E16</f>
        <v>200</v>
      </c>
      <c r="G16" s="89">
        <f>F16/D16</f>
        <v>7.407407407407407E-2</v>
      </c>
    </row>
    <row r="17" spans="1:7" customFormat="1" ht="14.5" x14ac:dyDescent="0.35">
      <c r="A17" s="423"/>
      <c r="B17" s="424"/>
      <c r="C17" s="105">
        <f>SUM(C14:C16)</f>
        <v>1359</v>
      </c>
      <c r="D17" s="96"/>
      <c r="E17" s="96"/>
      <c r="F17" s="118">
        <f>SUM(F14:F16)</f>
        <v>922.71428571428567</v>
      </c>
      <c r="G17" s="102">
        <f>SUM(G14:G16)</f>
        <v>0.34174603174603174</v>
      </c>
    </row>
    <row r="18" spans="1:7" customFormat="1" ht="14.5" x14ac:dyDescent="0.35">
      <c r="A18" s="5"/>
      <c r="B18" s="5"/>
      <c r="C18" s="5"/>
      <c r="D18" s="5"/>
      <c r="E18" s="5"/>
      <c r="F18" s="5"/>
      <c r="G18" s="5"/>
    </row>
    <row r="19" spans="1:7" customFormat="1" ht="14.5" x14ac:dyDescent="0.35">
      <c r="A19" s="5"/>
      <c r="B19" s="5"/>
      <c r="C19" s="5"/>
      <c r="D19" s="5"/>
      <c r="E19" s="5"/>
      <c r="F19" s="5"/>
      <c r="G19" s="5"/>
    </row>
    <row r="20" spans="1:7" customFormat="1" ht="14.5" x14ac:dyDescent="0.35">
      <c r="A20" s="5"/>
      <c r="B20" s="5"/>
      <c r="C20" s="5"/>
      <c r="D20" s="5"/>
      <c r="E20" s="5"/>
      <c r="F20" s="5"/>
      <c r="G20" s="5"/>
    </row>
    <row r="21" spans="1:7" customFormat="1" ht="52" x14ac:dyDescent="0.35">
      <c r="A21" s="94" t="s">
        <v>136</v>
      </c>
      <c r="B21" s="97" t="s">
        <v>127</v>
      </c>
      <c r="C21" s="43" t="s">
        <v>128</v>
      </c>
      <c r="D21" s="43" t="s">
        <v>129</v>
      </c>
      <c r="E21" s="43" t="s">
        <v>130</v>
      </c>
      <c r="F21" s="43" t="s">
        <v>131</v>
      </c>
      <c r="G21" s="43" t="s">
        <v>135</v>
      </c>
    </row>
    <row r="22" spans="1:7" customFormat="1" ht="14.5" x14ac:dyDescent="0.35">
      <c r="A22" s="117" t="s">
        <v>178</v>
      </c>
      <c r="B22" s="104">
        <v>0</v>
      </c>
      <c r="C22" s="80">
        <v>0</v>
      </c>
      <c r="D22" s="80">
        <v>450</v>
      </c>
      <c r="E22" s="88">
        <f>D22*15</f>
        <v>6750</v>
      </c>
      <c r="F22" s="95">
        <f>(C22*D22)/E22</f>
        <v>0</v>
      </c>
      <c r="G22" s="89">
        <f>F22/D22</f>
        <v>0</v>
      </c>
    </row>
    <row r="23" spans="1:7" customFormat="1" ht="14.5" x14ac:dyDescent="0.35">
      <c r="A23" s="117" t="s">
        <v>179</v>
      </c>
      <c r="B23" s="119" t="s">
        <v>137</v>
      </c>
      <c r="C23" s="80">
        <v>184.1</v>
      </c>
      <c r="D23" s="80">
        <v>450</v>
      </c>
      <c r="E23" s="88">
        <f>D23*15</f>
        <v>6750</v>
      </c>
      <c r="F23" s="95">
        <f>(C23*D23)/E23</f>
        <v>12.273333333333333</v>
      </c>
      <c r="G23" s="89">
        <f>F23/D23</f>
        <v>2.7274074074074076E-2</v>
      </c>
    </row>
    <row r="24" spans="1:7" customFormat="1" ht="14.5" x14ac:dyDescent="0.35">
      <c r="A24" s="117" t="s">
        <v>180</v>
      </c>
      <c r="B24" s="104" t="s">
        <v>165</v>
      </c>
      <c r="C24" s="82">
        <v>1091.0999999999999</v>
      </c>
      <c r="D24" s="80">
        <v>450</v>
      </c>
      <c r="E24" s="88">
        <f>D24*7</f>
        <v>3150</v>
      </c>
      <c r="F24" s="95">
        <f>SUM(F22:F23)</f>
        <v>12.273333333333333</v>
      </c>
      <c r="G24" s="89">
        <f>SUM(G22:G23)</f>
        <v>2.7274074074074076E-2</v>
      </c>
    </row>
    <row r="25" spans="1:7" customFormat="1" ht="14.5" x14ac:dyDescent="0.35">
      <c r="A25" s="98"/>
      <c r="B25" s="99"/>
      <c r="C25" s="100">
        <f>SUM(C23:C24)</f>
        <v>1275.1999999999998</v>
      </c>
      <c r="D25" s="5"/>
      <c r="E25" s="5"/>
      <c r="F25" s="101">
        <f>SUM(F23:F24)</f>
        <v>24.546666666666667</v>
      </c>
      <c r="G25" s="102">
        <f>SUM(G23:G24)</f>
        <v>5.4548148148148151E-2</v>
      </c>
    </row>
    <row r="26" spans="1:7" customFormat="1" ht="14.5" x14ac:dyDescent="0.35">
      <c r="A26" s="103"/>
      <c r="B26" s="103"/>
      <c r="C26" s="103"/>
      <c r="D26" s="5"/>
      <c r="E26" s="5"/>
      <c r="F26" s="5"/>
      <c r="G26" s="5"/>
    </row>
    <row r="27" spans="1:7" customFormat="1" ht="14.5" x14ac:dyDescent="0.35">
      <c r="A27" s="103"/>
      <c r="B27" s="103"/>
      <c r="C27" s="103"/>
      <c r="D27" s="5"/>
      <c r="E27" s="5"/>
      <c r="F27" s="5"/>
      <c r="G27" s="5"/>
    </row>
    <row r="28" spans="1:7" customFormat="1" ht="52" x14ac:dyDescent="0.35">
      <c r="A28" s="94" t="s">
        <v>181</v>
      </c>
      <c r="B28" s="97" t="s">
        <v>127</v>
      </c>
      <c r="C28" s="43" t="s">
        <v>128</v>
      </c>
      <c r="D28" s="43" t="s">
        <v>129</v>
      </c>
      <c r="E28" s="43" t="s">
        <v>130</v>
      </c>
      <c r="F28" s="43" t="s">
        <v>131</v>
      </c>
      <c r="G28" s="43" t="s">
        <v>135</v>
      </c>
    </row>
    <row r="29" spans="1:7" customFormat="1" ht="14.5" x14ac:dyDescent="0.35">
      <c r="A29" s="117" t="s">
        <v>182</v>
      </c>
      <c r="B29" s="104" t="s">
        <v>140</v>
      </c>
      <c r="C29" s="80">
        <v>907</v>
      </c>
      <c r="D29" s="80">
        <v>110</v>
      </c>
      <c r="E29" s="88">
        <f>D29*30</f>
        <v>3300</v>
      </c>
      <c r="F29" s="95">
        <f>(C29*D29)/E29</f>
        <v>30.233333333333334</v>
      </c>
      <c r="G29" s="89">
        <f>F29/D29</f>
        <v>0.27484848484848484</v>
      </c>
    </row>
    <row r="30" spans="1:7" customFormat="1" ht="14.5" x14ac:dyDescent="0.35">
      <c r="A30" s="425"/>
      <c r="B30" s="425"/>
      <c r="C30" s="120">
        <f>SUM(C29:C29)</f>
        <v>907</v>
      </c>
      <c r="D30" s="96"/>
      <c r="E30" s="96"/>
      <c r="F30" s="101">
        <f>SUM(F29:F29)</f>
        <v>30.233333333333334</v>
      </c>
      <c r="G30" s="102">
        <f>SUM(G29:G29)</f>
        <v>0.27484848484848484</v>
      </c>
    </row>
    <row r="31" spans="1:7" customFormat="1" ht="14.5" x14ac:dyDescent="0.35">
      <c r="A31" s="103"/>
      <c r="B31" s="103"/>
      <c r="C31" s="103"/>
      <c r="D31" s="5"/>
      <c r="E31" s="5"/>
      <c r="F31" s="5"/>
      <c r="G31" s="5"/>
    </row>
    <row r="32" spans="1:7" customFormat="1" ht="14.5" x14ac:dyDescent="0.35">
      <c r="A32" s="121"/>
      <c r="B32" s="121"/>
      <c r="C32" s="121"/>
      <c r="D32" s="121"/>
      <c r="E32" s="121"/>
      <c r="F32" s="121"/>
      <c r="G32" s="121"/>
    </row>
    <row r="33" spans="1:7" customFormat="1" ht="14.5" x14ac:dyDescent="0.35">
      <c r="A33" s="426"/>
      <c r="B33" s="426"/>
      <c r="C33" s="426"/>
      <c r="D33" s="5"/>
      <c r="E33" s="410" t="s">
        <v>138</v>
      </c>
      <c r="F33" s="410"/>
      <c r="G33" s="124">
        <f>F9+F17+F25+F30</f>
        <v>8776.8085714285735</v>
      </c>
    </row>
    <row r="34" spans="1:7" customFormat="1" ht="14.5" x14ac:dyDescent="0.35">
      <c r="A34" s="5"/>
      <c r="B34" s="5"/>
      <c r="C34" s="5"/>
      <c r="D34" s="5"/>
      <c r="E34" s="411" t="s">
        <v>139</v>
      </c>
      <c r="F34" s="411"/>
      <c r="G34" s="125">
        <f>G9+G17+G25+G30</f>
        <v>8.2701712361712385</v>
      </c>
    </row>
    <row r="35" spans="1:7" customFormat="1" ht="14.5" x14ac:dyDescent="0.35">
      <c r="A35" s="5"/>
      <c r="B35" s="5"/>
      <c r="C35" s="5"/>
      <c r="D35" s="5"/>
      <c r="E35" s="5"/>
      <c r="F35" s="5"/>
      <c r="G35" s="5"/>
    </row>
    <row r="37" spans="1:7" customFormat="1" ht="15.5" x14ac:dyDescent="0.35">
      <c r="A37" s="412" t="s">
        <v>376</v>
      </c>
      <c r="B37" s="412"/>
      <c r="C37" s="412"/>
      <c r="D37" s="412"/>
      <c r="E37" s="412"/>
      <c r="F37" s="412"/>
      <c r="G37" s="412"/>
    </row>
    <row r="38" spans="1:7" customFormat="1" ht="36" x14ac:dyDescent="0.35">
      <c r="A38" s="195" t="s">
        <v>126</v>
      </c>
      <c r="B38" s="196" t="s">
        <v>127</v>
      </c>
      <c r="C38" s="197" t="s">
        <v>128</v>
      </c>
      <c r="D38" s="197" t="s">
        <v>129</v>
      </c>
      <c r="E38" s="197" t="s">
        <v>130</v>
      </c>
      <c r="F38" s="197" t="s">
        <v>131</v>
      </c>
      <c r="G38" s="237" t="s">
        <v>132</v>
      </c>
    </row>
    <row r="39" spans="1:7" customFormat="1" ht="14.5" x14ac:dyDescent="0.35">
      <c r="A39" s="224" t="s">
        <v>374</v>
      </c>
      <c r="B39" s="188" t="s">
        <v>174</v>
      </c>
      <c r="C39" s="188">
        <f>304.7*2</f>
        <v>609.4</v>
      </c>
      <c r="D39" s="199">
        <v>600</v>
      </c>
      <c r="E39" s="189">
        <f>D39*1</f>
        <v>600</v>
      </c>
      <c r="F39" s="200">
        <f>(C39*D39)/E39</f>
        <v>609.4</v>
      </c>
      <c r="G39" s="191">
        <f>F39/D39</f>
        <v>1.0156666666666667</v>
      </c>
    </row>
    <row r="40" spans="1:7" customFormat="1" ht="14.5" x14ac:dyDescent="0.35">
      <c r="A40" s="418"/>
      <c r="B40" s="418"/>
      <c r="C40" s="231">
        <f>SUM(C39:C39)</f>
        <v>609.4</v>
      </c>
      <c r="D40" s="418"/>
      <c r="E40" s="418"/>
      <c r="F40" s="232">
        <f>SUM(F39:F39)</f>
        <v>609.4</v>
      </c>
      <c r="G40" s="240">
        <f>SUM(G39:G39)</f>
        <v>1.0156666666666667</v>
      </c>
    </row>
    <row r="41" spans="1:7" customFormat="1" ht="14.5" x14ac:dyDescent="0.35">
      <c r="A41" s="211"/>
      <c r="B41" s="211"/>
      <c r="C41" s="211"/>
      <c r="D41" s="212"/>
      <c r="E41" s="212"/>
      <c r="F41" s="212"/>
      <c r="G41" s="212"/>
    </row>
    <row r="42" spans="1:7" customFormat="1" ht="14.5" x14ac:dyDescent="0.35">
      <c r="A42" s="211"/>
      <c r="B42" s="211"/>
      <c r="C42" s="211"/>
      <c r="D42" s="212"/>
      <c r="E42" s="212"/>
      <c r="F42" s="212"/>
      <c r="G42" s="212"/>
    </row>
    <row r="43" spans="1:7" customFormat="1" ht="36" x14ac:dyDescent="0.35">
      <c r="A43" s="241" t="s">
        <v>181</v>
      </c>
      <c r="B43" s="215" t="s">
        <v>127</v>
      </c>
      <c r="C43" s="216" t="s">
        <v>128</v>
      </c>
      <c r="D43" s="216" t="s">
        <v>129</v>
      </c>
      <c r="E43" s="216" t="s">
        <v>130</v>
      </c>
      <c r="F43" s="216" t="s">
        <v>131</v>
      </c>
      <c r="G43" s="216" t="s">
        <v>135</v>
      </c>
    </row>
    <row r="44" spans="1:7" customFormat="1" ht="14.5" x14ac:dyDescent="0.35">
      <c r="A44" s="201" t="s">
        <v>375</v>
      </c>
      <c r="B44" s="188" t="s">
        <v>330</v>
      </c>
      <c r="C44" s="223">
        <v>40</v>
      </c>
      <c r="D44" s="188">
        <v>220</v>
      </c>
      <c r="E44" s="199">
        <f>D44*2</f>
        <v>440</v>
      </c>
      <c r="F44" s="200">
        <f>(C44*D44)/E44</f>
        <v>20</v>
      </c>
      <c r="G44" s="191">
        <f>F44/D44</f>
        <v>9.0909090909090912E-2</v>
      </c>
    </row>
    <row r="45" spans="1:7" customFormat="1" ht="14.5" x14ac:dyDescent="0.35">
      <c r="A45" s="418"/>
      <c r="B45" s="418"/>
      <c r="C45" s="196">
        <f>SUM(C44:C44)</f>
        <v>40</v>
      </c>
      <c r="D45" s="180"/>
      <c r="E45" s="180"/>
      <c r="F45" s="218">
        <f>SUM(F44:F44)</f>
        <v>20</v>
      </c>
      <c r="G45" s="240">
        <f>SUM(G44:G44)</f>
        <v>9.0909090909090912E-2</v>
      </c>
    </row>
    <row r="46" spans="1:7" customFormat="1" ht="14.5" x14ac:dyDescent="0.35">
      <c r="A46" s="234"/>
      <c r="B46" s="234"/>
      <c r="C46" s="234"/>
      <c r="D46" s="234"/>
      <c r="E46" s="234"/>
      <c r="F46" s="234"/>
      <c r="G46" s="234"/>
    </row>
    <row r="47" spans="1:7" customFormat="1" ht="15" thickBot="1" x14ac:dyDescent="0.4">
      <c r="A47" s="427"/>
      <c r="B47" s="427"/>
      <c r="C47" s="427"/>
      <c r="D47" s="212"/>
      <c r="E47" s="212"/>
      <c r="F47" s="212"/>
      <c r="G47" s="212"/>
    </row>
    <row r="48" spans="1:7" customFormat="1" ht="15" thickBot="1" x14ac:dyDescent="0.4">
      <c r="D48" s="408" t="s">
        <v>138</v>
      </c>
      <c r="E48" s="409"/>
      <c r="F48" s="220">
        <f>F40+F45</f>
        <v>629.4</v>
      </c>
    </row>
    <row r="49" spans="1:7" customFormat="1" ht="15" thickBot="1" x14ac:dyDescent="0.4">
      <c r="D49" s="408" t="s">
        <v>139</v>
      </c>
      <c r="E49" s="429"/>
      <c r="F49" s="242">
        <f>G40+G45</f>
        <v>1.1065757575757575</v>
      </c>
    </row>
    <row r="52" spans="1:7" customFormat="1" ht="15.5" x14ac:dyDescent="0.35">
      <c r="A52" s="412" t="s">
        <v>379</v>
      </c>
      <c r="B52" s="412"/>
      <c r="C52" s="412"/>
      <c r="D52" s="412"/>
      <c r="E52" s="412"/>
      <c r="F52" s="412"/>
      <c r="G52" s="412"/>
    </row>
    <row r="53" spans="1:7" customFormat="1" ht="36" x14ac:dyDescent="0.35">
      <c r="A53" s="195" t="s">
        <v>126</v>
      </c>
      <c r="B53" s="196" t="s">
        <v>127</v>
      </c>
      <c r="C53" s="197" t="s">
        <v>128</v>
      </c>
      <c r="D53" s="197" t="s">
        <v>129</v>
      </c>
      <c r="E53" s="197" t="s">
        <v>130</v>
      </c>
      <c r="F53" s="197" t="s">
        <v>131</v>
      </c>
      <c r="G53" s="237" t="s">
        <v>132</v>
      </c>
    </row>
    <row r="54" spans="1:7" customFormat="1" ht="14.5" x14ac:dyDescent="0.35">
      <c r="A54" s="224" t="s">
        <v>377</v>
      </c>
      <c r="B54" s="188" t="s">
        <v>169</v>
      </c>
      <c r="C54" s="188">
        <f>413.87*2</f>
        <v>827.74</v>
      </c>
      <c r="D54" s="188">
        <v>800</v>
      </c>
      <c r="E54" s="189">
        <f>D54*1</f>
        <v>800</v>
      </c>
      <c r="F54" s="200">
        <f>(C54*D54)/E54</f>
        <v>827.74</v>
      </c>
      <c r="G54" s="191">
        <f>F54/D54</f>
        <v>1.034675</v>
      </c>
    </row>
    <row r="55" spans="1:7" customFormat="1" ht="14.5" x14ac:dyDescent="0.35">
      <c r="A55" s="418"/>
      <c r="B55" s="418"/>
      <c r="C55" s="231">
        <f>SUM(C54:C54)</f>
        <v>827.74</v>
      </c>
      <c r="D55" s="418"/>
      <c r="E55" s="418"/>
      <c r="F55" s="232">
        <f>SUM(F54:F54)</f>
        <v>827.74</v>
      </c>
      <c r="G55" s="240">
        <f>SUM(G54:G54)</f>
        <v>1.034675</v>
      </c>
    </row>
    <row r="56" spans="1:7" customFormat="1" ht="14.5" x14ac:dyDescent="0.35">
      <c r="A56" s="212"/>
      <c r="B56" s="212"/>
      <c r="C56" s="212"/>
      <c r="D56" s="212"/>
      <c r="E56" s="212"/>
      <c r="F56" s="212"/>
      <c r="G56" s="212"/>
    </row>
    <row r="57" spans="1:7" customFormat="1" ht="14.5" x14ac:dyDescent="0.35">
      <c r="A57" s="212"/>
      <c r="B57" s="212"/>
      <c r="C57" s="212"/>
      <c r="D57" s="212"/>
      <c r="E57" s="212"/>
      <c r="F57" s="212"/>
      <c r="G57" s="212"/>
    </row>
    <row r="58" spans="1:7" customFormat="1" ht="36" x14ac:dyDescent="0.35">
      <c r="A58" s="195" t="s">
        <v>133</v>
      </c>
      <c r="B58" s="196" t="s">
        <v>127</v>
      </c>
      <c r="C58" s="197" t="s">
        <v>128</v>
      </c>
      <c r="D58" s="197" t="s">
        <v>129</v>
      </c>
      <c r="E58" s="197" t="s">
        <v>130</v>
      </c>
      <c r="F58" s="197" t="s">
        <v>134</v>
      </c>
      <c r="G58" s="197" t="s">
        <v>135</v>
      </c>
    </row>
    <row r="59" spans="1:7" customFormat="1" ht="14.5" x14ac:dyDescent="0.35">
      <c r="A59" s="224" t="s">
        <v>378</v>
      </c>
      <c r="B59" s="188" t="s">
        <v>165</v>
      </c>
      <c r="C59" s="188">
        <v>846.13</v>
      </c>
      <c r="D59" s="199">
        <v>2400</v>
      </c>
      <c r="E59" s="199">
        <f>D59*7</f>
        <v>16800</v>
      </c>
      <c r="F59" s="200">
        <f>(C59*D59)/E59</f>
        <v>120.87571428571428</v>
      </c>
      <c r="G59" s="191">
        <f>F59/D59</f>
        <v>5.0364880952380953E-2</v>
      </c>
    </row>
    <row r="60" spans="1:7" customFormat="1" ht="14.5" x14ac:dyDescent="0.35">
      <c r="A60" s="418"/>
      <c r="B60" s="418"/>
      <c r="C60" s="231">
        <f>SUM(C59:C59)</f>
        <v>846.13</v>
      </c>
      <c r="D60" s="180"/>
      <c r="E60" s="180"/>
      <c r="F60" s="232">
        <f>SUM(F59:F59)</f>
        <v>120.87571428571428</v>
      </c>
      <c r="G60" s="240">
        <f>SUM(G59:G59)</f>
        <v>5.0364880952380953E-2</v>
      </c>
    </row>
    <row r="61" spans="1:7" customFormat="1" ht="14.5" x14ac:dyDescent="0.35">
      <c r="A61" s="212"/>
      <c r="B61" s="212"/>
      <c r="C61" s="212"/>
      <c r="D61" s="212"/>
      <c r="E61" s="212"/>
      <c r="F61" s="212"/>
      <c r="G61" s="212"/>
    </row>
    <row r="62" spans="1:7" customFormat="1" ht="15" thickBot="1" x14ac:dyDescent="0.4">
      <c r="A62" s="427"/>
      <c r="B62" s="427"/>
      <c r="C62" s="427"/>
      <c r="D62" s="212"/>
      <c r="E62" s="212"/>
      <c r="F62" s="212"/>
      <c r="G62" s="212"/>
    </row>
    <row r="63" spans="1:7" customFormat="1" ht="15" thickBot="1" x14ac:dyDescent="0.4">
      <c r="D63" s="408" t="s">
        <v>138</v>
      </c>
      <c r="E63" s="409"/>
      <c r="F63" s="220">
        <f>F55+F60</f>
        <v>948.61571428571426</v>
      </c>
    </row>
    <row r="64" spans="1:7" customFormat="1" ht="15" thickBot="1" x14ac:dyDescent="0.4">
      <c r="D64" s="408" t="s">
        <v>139</v>
      </c>
      <c r="E64" s="429"/>
      <c r="F64" s="242">
        <f>G55+G60</f>
        <v>1.0850398809523809</v>
      </c>
    </row>
    <row r="68" spans="1:7" customFormat="1" ht="15.5" x14ac:dyDescent="0.35">
      <c r="A68" s="412" t="s">
        <v>325</v>
      </c>
      <c r="B68" s="412"/>
      <c r="C68" s="412"/>
      <c r="D68" s="412"/>
      <c r="E68" s="412"/>
      <c r="F68" s="412"/>
      <c r="G68" s="412"/>
    </row>
    <row r="69" spans="1:7" customFormat="1" ht="52" x14ac:dyDescent="0.35">
      <c r="A69" s="85" t="s">
        <v>326</v>
      </c>
      <c r="B69" s="86" t="s">
        <v>127</v>
      </c>
      <c r="C69" s="86" t="s">
        <v>128</v>
      </c>
      <c r="D69" s="86" t="s">
        <v>129</v>
      </c>
      <c r="E69" s="39" t="s">
        <v>130</v>
      </c>
      <c r="F69" s="86" t="s">
        <v>327</v>
      </c>
      <c r="G69" s="86" t="s">
        <v>135</v>
      </c>
    </row>
    <row r="70" spans="1:7" customFormat="1" ht="14.5" x14ac:dyDescent="0.35">
      <c r="A70" s="181" t="s">
        <v>328</v>
      </c>
      <c r="B70" s="182" t="s">
        <v>169</v>
      </c>
      <c r="C70" s="82">
        <f>1256.96-102.08</f>
        <v>1154.8800000000001</v>
      </c>
      <c r="D70" s="183">
        <v>800</v>
      </c>
      <c r="E70" s="80">
        <f>D70*1</f>
        <v>800</v>
      </c>
      <c r="F70" s="184">
        <f>(C70*D70)/E70</f>
        <v>1154.8800000000001</v>
      </c>
      <c r="G70" s="185">
        <f>F70/D70</f>
        <v>1.4436000000000002</v>
      </c>
    </row>
    <row r="71" spans="1:7" customFormat="1" ht="14.5" x14ac:dyDescent="0.35">
      <c r="A71" s="181" t="s">
        <v>329</v>
      </c>
      <c r="B71" s="182" t="s">
        <v>330</v>
      </c>
      <c r="C71" s="80">
        <v>215.87</v>
      </c>
      <c r="D71" s="183">
        <v>800</v>
      </c>
      <c r="E71" s="80">
        <f>D71*2</f>
        <v>1600</v>
      </c>
      <c r="F71" s="182">
        <f t="shared" ref="F71:F77" si="2">(C71*D71)/E71</f>
        <v>107.935</v>
      </c>
      <c r="G71" s="185">
        <f t="shared" ref="G71:G77" si="3">F71/D71</f>
        <v>0.13491875</v>
      </c>
    </row>
    <row r="72" spans="1:7" customFormat="1" ht="14.5" x14ac:dyDescent="0.35">
      <c r="A72" s="181" t="s">
        <v>331</v>
      </c>
      <c r="B72" s="182" t="s">
        <v>137</v>
      </c>
      <c r="C72" s="80">
        <v>52.98</v>
      </c>
      <c r="D72" s="183">
        <v>800</v>
      </c>
      <c r="E72" s="80">
        <f>D72*15</f>
        <v>12000</v>
      </c>
      <c r="F72" s="185">
        <f t="shared" si="2"/>
        <v>3.532</v>
      </c>
      <c r="G72" s="186">
        <f t="shared" si="3"/>
        <v>4.4149999999999997E-3</v>
      </c>
    </row>
    <row r="73" spans="1:7" customFormat="1" ht="14.5" x14ac:dyDescent="0.35">
      <c r="A73" s="187" t="s">
        <v>332</v>
      </c>
      <c r="B73" s="188" t="s">
        <v>167</v>
      </c>
      <c r="C73" s="188">
        <f>72.08*2</f>
        <v>144.16</v>
      </c>
      <c r="D73" s="183">
        <v>800</v>
      </c>
      <c r="E73" s="189">
        <f>D73*0.25</f>
        <v>200</v>
      </c>
      <c r="F73" s="190">
        <f>(C73*D73)/E73</f>
        <v>576.64</v>
      </c>
      <c r="G73" s="191">
        <f>F73/D73</f>
        <v>0.7208</v>
      </c>
    </row>
    <row r="74" spans="1:7" customFormat="1" ht="14.5" x14ac:dyDescent="0.35">
      <c r="A74" s="187" t="s">
        <v>333</v>
      </c>
      <c r="B74" s="188" t="s">
        <v>167</v>
      </c>
      <c r="C74" s="188">
        <f>30*4</f>
        <v>120</v>
      </c>
      <c r="D74" s="183">
        <v>800</v>
      </c>
      <c r="E74" s="189">
        <f>D74*0.25</f>
        <v>200</v>
      </c>
      <c r="F74" s="190">
        <f>(C74*D74)/E74</f>
        <v>480</v>
      </c>
      <c r="G74" s="191">
        <f>F74/D74</f>
        <v>0.6</v>
      </c>
    </row>
    <row r="75" spans="1:7" customFormat="1" ht="14.5" x14ac:dyDescent="0.35">
      <c r="A75" s="181" t="s">
        <v>334</v>
      </c>
      <c r="B75" s="182" t="s">
        <v>140</v>
      </c>
      <c r="C75" s="80">
        <v>17.62</v>
      </c>
      <c r="D75" s="183">
        <v>800</v>
      </c>
      <c r="E75" s="80">
        <f>D75*30</f>
        <v>24000</v>
      </c>
      <c r="F75" s="185">
        <f t="shared" si="2"/>
        <v>0.58733333333333337</v>
      </c>
      <c r="G75" s="186">
        <f t="shared" si="3"/>
        <v>7.3416666666666671E-4</v>
      </c>
    </row>
    <row r="76" spans="1:7" customFormat="1" ht="14.5" x14ac:dyDescent="0.35">
      <c r="A76" s="181" t="s">
        <v>335</v>
      </c>
      <c r="B76" s="182" t="s">
        <v>140</v>
      </c>
      <c r="C76" s="80">
        <v>32.94</v>
      </c>
      <c r="D76" s="183">
        <v>800</v>
      </c>
      <c r="E76" s="80">
        <f>D76*30</f>
        <v>24000</v>
      </c>
      <c r="F76" s="185">
        <f t="shared" si="2"/>
        <v>1.0980000000000001</v>
      </c>
      <c r="G76" s="192">
        <f t="shared" si="3"/>
        <v>1.3725E-3</v>
      </c>
    </row>
    <row r="77" spans="1:7" customFormat="1" ht="14.5" x14ac:dyDescent="0.35">
      <c r="A77" s="181" t="s">
        <v>336</v>
      </c>
      <c r="B77" s="182" t="s">
        <v>140</v>
      </c>
      <c r="C77" s="80">
        <v>29.86</v>
      </c>
      <c r="D77" s="183">
        <v>800</v>
      </c>
      <c r="E77" s="80">
        <f>D77*30</f>
        <v>24000</v>
      </c>
      <c r="F77" s="185">
        <f t="shared" si="2"/>
        <v>0.99533333333333329</v>
      </c>
      <c r="G77" s="192">
        <f t="shared" si="3"/>
        <v>1.2441666666666666E-3</v>
      </c>
    </row>
    <row r="78" spans="1:7" customFormat="1" ht="14.5" x14ac:dyDescent="0.35">
      <c r="A78" s="413" t="s">
        <v>337</v>
      </c>
      <c r="B78" s="414"/>
      <c r="C78" s="74">
        <f>SUM(C70:C77)</f>
        <v>1768.31</v>
      </c>
      <c r="D78" s="415"/>
      <c r="E78" s="416"/>
      <c r="F78" s="193">
        <f>SUM(F70:F77)</f>
        <v>2325.6676666666667</v>
      </c>
      <c r="G78" s="194">
        <f>SUM(G70:G77)</f>
        <v>2.9070845833333334</v>
      </c>
    </row>
    <row r="79" spans="1:7" customFormat="1" ht="14.5" x14ac:dyDescent="0.35">
      <c r="A79" s="180"/>
      <c r="B79" s="180"/>
      <c r="C79" s="180"/>
      <c r="D79" s="180"/>
      <c r="E79" s="180"/>
      <c r="F79" s="180"/>
      <c r="G79" s="180"/>
    </row>
    <row r="80" spans="1:7" customFormat="1" ht="14.5" x14ac:dyDescent="0.35">
      <c r="A80" s="180"/>
      <c r="B80" s="180"/>
      <c r="C80" s="180"/>
      <c r="D80" s="180"/>
      <c r="E80" s="180"/>
      <c r="F80" s="180"/>
      <c r="G80" s="180"/>
    </row>
    <row r="81" spans="1:7" customFormat="1" ht="36" x14ac:dyDescent="0.35">
      <c r="A81" s="195" t="s">
        <v>338</v>
      </c>
      <c r="B81" s="196" t="s">
        <v>127</v>
      </c>
      <c r="C81" s="197" t="s">
        <v>128</v>
      </c>
      <c r="D81" s="197" t="s">
        <v>129</v>
      </c>
      <c r="E81" s="197" t="s">
        <v>130</v>
      </c>
      <c r="F81" s="197" t="s">
        <v>131</v>
      </c>
      <c r="G81" s="197" t="s">
        <v>135</v>
      </c>
    </row>
    <row r="82" spans="1:7" customFormat="1" ht="14.5" x14ac:dyDescent="0.35">
      <c r="A82" s="188" t="s">
        <v>339</v>
      </c>
      <c r="B82" s="188" t="s">
        <v>165</v>
      </c>
      <c r="C82" s="188">
        <v>180</v>
      </c>
      <c r="D82" s="198">
        <v>1200</v>
      </c>
      <c r="E82" s="199">
        <f>D82*7</f>
        <v>8400</v>
      </c>
      <c r="F82" s="200">
        <f>(C82*D82)/E82</f>
        <v>25.714285714285715</v>
      </c>
      <c r="G82" s="200">
        <f>F82/D82</f>
        <v>2.1428571428571429E-2</v>
      </c>
    </row>
    <row r="83" spans="1:7" customFormat="1" ht="36" x14ac:dyDescent="0.35">
      <c r="A83" s="201" t="s">
        <v>340</v>
      </c>
      <c r="B83" s="188" t="s">
        <v>140</v>
      </c>
      <c r="C83" s="189">
        <v>4644.7700000000004</v>
      </c>
      <c r="D83" s="198">
        <v>2000</v>
      </c>
      <c r="E83" s="199">
        <f>D83*30</f>
        <v>60000</v>
      </c>
      <c r="F83" s="200">
        <f>(C83*D83)/E83</f>
        <v>154.82566666666668</v>
      </c>
      <c r="G83" s="200">
        <f>F83/D83</f>
        <v>7.7412833333333333E-2</v>
      </c>
    </row>
    <row r="84" spans="1:7" customFormat="1" ht="14.5" x14ac:dyDescent="0.35">
      <c r="A84" s="202" t="s">
        <v>341</v>
      </c>
      <c r="B84" s="203" t="s">
        <v>140</v>
      </c>
      <c r="C84" s="204">
        <v>3086</v>
      </c>
      <c r="D84" s="198">
        <v>2000</v>
      </c>
      <c r="E84" s="199">
        <f>D84*30</f>
        <v>60000</v>
      </c>
      <c r="F84" s="189">
        <f>(C84*D84)/E84</f>
        <v>102.86666666666666</v>
      </c>
      <c r="G84" s="200">
        <f>F84/D84</f>
        <v>5.1433333333333331E-2</v>
      </c>
    </row>
    <row r="85" spans="1:7" customFormat="1" ht="14.5" x14ac:dyDescent="0.35">
      <c r="A85" s="417"/>
      <c r="B85" s="417"/>
      <c r="C85" s="205">
        <f>SUM(C82:C84)</f>
        <v>7910.77</v>
      </c>
      <c r="D85" s="180"/>
      <c r="E85" s="180"/>
      <c r="F85" s="206">
        <f>SUM(F82:F84)</f>
        <v>283.40661904761907</v>
      </c>
      <c r="G85" s="207">
        <f>SUM(G82:G84)</f>
        <v>0.15027473809523809</v>
      </c>
    </row>
    <row r="86" spans="1:7" customFormat="1" ht="14.5" x14ac:dyDescent="0.35">
      <c r="B86" s="208"/>
    </row>
    <row r="87" spans="1:7" customFormat="1" ht="14.5" x14ac:dyDescent="0.35">
      <c r="A87" s="209"/>
      <c r="B87" s="210"/>
      <c r="C87" s="211"/>
      <c r="D87" s="212"/>
      <c r="E87" s="212"/>
      <c r="F87" s="212"/>
      <c r="G87" s="212"/>
    </row>
    <row r="88" spans="1:7" customFormat="1" ht="14.5" x14ac:dyDescent="0.35">
      <c r="A88" s="212"/>
      <c r="B88" s="213"/>
      <c r="C88" s="212"/>
      <c r="D88" s="212"/>
      <c r="E88" s="212"/>
      <c r="F88" s="212"/>
      <c r="G88" s="212"/>
    </row>
    <row r="89" spans="1:7" customFormat="1" ht="36" x14ac:dyDescent="0.35">
      <c r="A89" s="214" t="s">
        <v>136</v>
      </c>
      <c r="B89" s="215" t="s">
        <v>127</v>
      </c>
      <c r="C89" s="216" t="s">
        <v>128</v>
      </c>
      <c r="D89" s="216" t="s">
        <v>129</v>
      </c>
      <c r="E89" s="216" t="s">
        <v>130</v>
      </c>
      <c r="F89" s="216" t="s">
        <v>131</v>
      </c>
      <c r="G89" s="216" t="s">
        <v>135</v>
      </c>
    </row>
    <row r="90" spans="1:7" customFormat="1" ht="14.5" x14ac:dyDescent="0.35">
      <c r="A90" s="201" t="s">
        <v>342</v>
      </c>
      <c r="B90" s="188" t="s">
        <v>140</v>
      </c>
      <c r="C90" s="188">
        <v>272.54000000000002</v>
      </c>
      <c r="D90" s="217">
        <v>220</v>
      </c>
      <c r="E90" s="199">
        <f>D90*30</f>
        <v>6600</v>
      </c>
      <c r="F90" s="200">
        <f>(C90*D90)/E90</f>
        <v>9.0846666666666671</v>
      </c>
      <c r="G90" s="200">
        <f>F90/D90</f>
        <v>4.1293939393939397E-2</v>
      </c>
    </row>
    <row r="91" spans="1:7" customFormat="1" ht="14.5" x14ac:dyDescent="0.35">
      <c r="A91" s="201" t="s">
        <v>343</v>
      </c>
      <c r="B91" s="188" t="s">
        <v>140</v>
      </c>
      <c r="C91" s="188">
        <v>122.3</v>
      </c>
      <c r="D91" s="217">
        <v>220</v>
      </c>
      <c r="E91" s="199">
        <f>D91*30</f>
        <v>6600</v>
      </c>
      <c r="F91" s="200">
        <f>(C91*D91)/E91</f>
        <v>4.0766666666666671</v>
      </c>
      <c r="G91" s="200">
        <f>F91/D91</f>
        <v>1.8530303030303032E-2</v>
      </c>
    </row>
    <row r="92" spans="1:7" customFormat="1" ht="14.5" x14ac:dyDescent="0.35">
      <c r="A92" s="418"/>
      <c r="B92" s="418"/>
      <c r="C92" s="196">
        <f>SUM(C90:C91)</f>
        <v>394.84000000000003</v>
      </c>
      <c r="D92" s="180"/>
      <c r="E92" s="180"/>
      <c r="F92" s="218">
        <f>SUM(F90:F91)</f>
        <v>13.161333333333335</v>
      </c>
      <c r="G92" s="219">
        <f>SUM(G90:G91)</f>
        <v>5.9824242424242433E-2</v>
      </c>
    </row>
    <row r="93" spans="1:7" customFormat="1" ht="15" thickBot="1" x14ac:dyDescent="0.4">
      <c r="B93" s="208"/>
    </row>
    <row r="94" spans="1:7" customFormat="1" ht="15" thickBot="1" x14ac:dyDescent="0.4">
      <c r="B94" s="208"/>
      <c r="D94" s="408" t="s">
        <v>138</v>
      </c>
      <c r="E94" s="409"/>
      <c r="F94" s="220">
        <f>F78+F85+F92</f>
        <v>2622.2356190476194</v>
      </c>
    </row>
    <row r="95" spans="1:7" customFormat="1" ht="15" thickBot="1" x14ac:dyDescent="0.4">
      <c r="B95" s="208"/>
      <c r="D95" s="408" t="s">
        <v>139</v>
      </c>
      <c r="E95" s="409"/>
      <c r="F95" s="221">
        <f>G78+G85+G92</f>
        <v>3.117183563852814</v>
      </c>
    </row>
    <row r="98" spans="1:7" customFormat="1" ht="15.5" x14ac:dyDescent="0.35">
      <c r="A98" s="412" t="s">
        <v>344</v>
      </c>
      <c r="B98" s="412"/>
      <c r="C98" s="412"/>
      <c r="D98" s="412"/>
      <c r="E98" s="412"/>
      <c r="F98" s="412"/>
      <c r="G98" s="412"/>
    </row>
    <row r="99" spans="1:7" customFormat="1" ht="36" x14ac:dyDescent="0.35">
      <c r="A99" s="195" t="s">
        <v>326</v>
      </c>
      <c r="B99" s="196" t="s">
        <v>127</v>
      </c>
      <c r="C99" s="196" t="s">
        <v>128</v>
      </c>
      <c r="D99" s="196" t="s">
        <v>129</v>
      </c>
      <c r="E99" s="197" t="s">
        <v>130</v>
      </c>
      <c r="F99" s="196" t="s">
        <v>327</v>
      </c>
      <c r="G99" s="196" t="s">
        <v>135</v>
      </c>
    </row>
    <row r="100" spans="1:7" customFormat="1" ht="14.5" x14ac:dyDescent="0.35">
      <c r="A100" s="222" t="s">
        <v>345</v>
      </c>
      <c r="B100" s="223" t="s">
        <v>169</v>
      </c>
      <c r="C100" s="188">
        <v>531.22</v>
      </c>
      <c r="D100" s="188">
        <v>600</v>
      </c>
      <c r="E100" s="188">
        <f>D100*1</f>
        <v>600</v>
      </c>
      <c r="F100" s="200">
        <f t="shared" ref="F100:F105" si="4">(C100*D100)/E100</f>
        <v>531.22</v>
      </c>
      <c r="G100" s="200">
        <f t="shared" ref="G100:G105" si="5">F100/D100</f>
        <v>0.88536666666666675</v>
      </c>
    </row>
    <row r="101" spans="1:7" customFormat="1" ht="14.5" x14ac:dyDescent="0.35">
      <c r="A101" s="222" t="s">
        <v>346</v>
      </c>
      <c r="B101" s="188" t="s">
        <v>330</v>
      </c>
      <c r="C101" s="188">
        <v>77.37</v>
      </c>
      <c r="D101" s="188">
        <v>600</v>
      </c>
      <c r="E101" s="224">
        <f>D101*2</f>
        <v>1200</v>
      </c>
      <c r="F101" s="188">
        <f t="shared" si="4"/>
        <v>38.685000000000002</v>
      </c>
      <c r="G101" s="200">
        <f t="shared" si="5"/>
        <v>6.4475000000000005E-2</v>
      </c>
    </row>
    <row r="102" spans="1:7" customFormat="1" ht="14.5" x14ac:dyDescent="0.35">
      <c r="A102" s="222" t="s">
        <v>347</v>
      </c>
      <c r="B102" s="188" t="s">
        <v>330</v>
      </c>
      <c r="C102" s="188">
        <v>184.51</v>
      </c>
      <c r="D102" s="188">
        <v>600</v>
      </c>
      <c r="E102" s="224">
        <f>D102*2</f>
        <v>1200</v>
      </c>
      <c r="F102" s="200">
        <f t="shared" si="4"/>
        <v>92.254999999999995</v>
      </c>
      <c r="G102" s="191">
        <f t="shared" si="5"/>
        <v>0.15375833333333333</v>
      </c>
    </row>
    <row r="103" spans="1:7" customFormat="1" ht="14.5" x14ac:dyDescent="0.35">
      <c r="A103" s="222" t="s">
        <v>348</v>
      </c>
      <c r="B103" s="188" t="s">
        <v>330</v>
      </c>
      <c r="C103" s="188">
        <v>191.7</v>
      </c>
      <c r="D103" s="188">
        <v>600</v>
      </c>
      <c r="E103" s="224">
        <f>D103*2</f>
        <v>1200</v>
      </c>
      <c r="F103" s="200">
        <f t="shared" si="4"/>
        <v>95.85</v>
      </c>
      <c r="G103" s="191">
        <f t="shared" si="5"/>
        <v>0.15975</v>
      </c>
    </row>
    <row r="104" spans="1:7" customFormat="1" ht="14.5" x14ac:dyDescent="0.35">
      <c r="A104" s="222" t="s">
        <v>349</v>
      </c>
      <c r="B104" s="188" t="s">
        <v>330</v>
      </c>
      <c r="C104" s="188">
        <v>154.85</v>
      </c>
      <c r="D104" s="188">
        <v>600</v>
      </c>
      <c r="E104" s="224">
        <f>D104*2</f>
        <v>1200</v>
      </c>
      <c r="F104" s="200">
        <f t="shared" si="4"/>
        <v>77.424999999999997</v>
      </c>
      <c r="G104" s="191">
        <f t="shared" si="5"/>
        <v>0.12904166666666667</v>
      </c>
    </row>
    <row r="105" spans="1:7" customFormat="1" ht="14.5" x14ac:dyDescent="0.35">
      <c r="A105" s="222" t="s">
        <v>350</v>
      </c>
      <c r="B105" s="188" t="s">
        <v>330</v>
      </c>
      <c r="C105" s="188">
        <v>84.12</v>
      </c>
      <c r="D105" s="188">
        <v>600</v>
      </c>
      <c r="E105" s="224">
        <f>D105*2</f>
        <v>1200</v>
      </c>
      <c r="F105" s="200">
        <f t="shared" si="4"/>
        <v>42.06</v>
      </c>
      <c r="G105" s="191">
        <f t="shared" si="5"/>
        <v>7.010000000000001E-2</v>
      </c>
    </row>
    <row r="106" spans="1:7" customFormat="1" ht="14.5" x14ac:dyDescent="0.35">
      <c r="A106" s="364" t="s">
        <v>337</v>
      </c>
      <c r="B106" s="364"/>
      <c r="C106" s="74">
        <f>SUM(C100:C105)</f>
        <v>1223.77</v>
      </c>
      <c r="D106" s="419"/>
      <c r="E106" s="419"/>
      <c r="F106" s="193">
        <f>SUM(F100:F105)</f>
        <v>877.49499999999989</v>
      </c>
      <c r="G106" s="194">
        <f>SUM(G100:G105)</f>
        <v>1.462491666666667</v>
      </c>
    </row>
    <row r="107" spans="1:7" customFormat="1" ht="14.5" x14ac:dyDescent="0.35">
      <c r="A107" s="180"/>
      <c r="B107" s="180"/>
      <c r="C107" s="180"/>
      <c r="D107" s="180"/>
      <c r="E107" s="180"/>
      <c r="F107" s="180"/>
      <c r="G107" s="180"/>
    </row>
    <row r="108" spans="1:7" customFormat="1" ht="14.5" x14ac:dyDescent="0.35">
      <c r="A108" s="225"/>
      <c r="B108" s="212"/>
      <c r="C108" s="212"/>
      <c r="D108" s="212"/>
      <c r="E108" s="212"/>
      <c r="F108" s="212"/>
      <c r="G108" s="212"/>
    </row>
    <row r="109" spans="1:7" customFormat="1" ht="36" x14ac:dyDescent="0.35">
      <c r="A109" s="195" t="s">
        <v>133</v>
      </c>
      <c r="B109" s="196" t="s">
        <v>127</v>
      </c>
      <c r="C109" s="197" t="s">
        <v>128</v>
      </c>
      <c r="D109" s="197" t="s">
        <v>129</v>
      </c>
      <c r="E109" s="197" t="s">
        <v>130</v>
      </c>
      <c r="F109" s="197" t="s">
        <v>131</v>
      </c>
      <c r="G109" s="197" t="s">
        <v>135</v>
      </c>
    </row>
    <row r="110" spans="1:7" customFormat="1" ht="14.5" x14ac:dyDescent="0.35">
      <c r="A110" s="188" t="s">
        <v>351</v>
      </c>
      <c r="B110" s="188" t="s">
        <v>330</v>
      </c>
      <c r="C110" s="141">
        <v>959.95</v>
      </c>
      <c r="D110" s="226">
        <v>1200</v>
      </c>
      <c r="E110" s="227">
        <f>D110*2</f>
        <v>2400</v>
      </c>
      <c r="F110" s="228">
        <f>(C110*D110)/E110</f>
        <v>479.97500000000002</v>
      </c>
      <c r="G110" s="200">
        <f>F110/D110</f>
        <v>0.39997916666666666</v>
      </c>
    </row>
    <row r="111" spans="1:7" customFormat="1" ht="14.5" x14ac:dyDescent="0.35">
      <c r="A111" s="188" t="s">
        <v>352</v>
      </c>
      <c r="B111" s="188" t="s">
        <v>330</v>
      </c>
      <c r="C111" s="229">
        <v>1021</v>
      </c>
      <c r="D111" s="226">
        <v>1200</v>
      </c>
      <c r="E111" s="227">
        <f>D111*2</f>
        <v>2400</v>
      </c>
      <c r="F111" s="228">
        <f>(C111*D111)/E111</f>
        <v>510.5</v>
      </c>
      <c r="G111" s="200">
        <f>F111/D111</f>
        <v>0.42541666666666667</v>
      </c>
    </row>
    <row r="112" spans="1:7" customFormat="1" ht="14.5" x14ac:dyDescent="0.35">
      <c r="A112" s="188" t="s">
        <v>353</v>
      </c>
      <c r="B112" s="188" t="s">
        <v>330</v>
      </c>
      <c r="C112" s="230">
        <v>502</v>
      </c>
      <c r="D112" s="226">
        <v>1200</v>
      </c>
      <c r="E112" s="227">
        <f>D112*2</f>
        <v>2400</v>
      </c>
      <c r="F112" s="228">
        <f>(C112*D112)/E112</f>
        <v>251</v>
      </c>
      <c r="G112" s="200">
        <f>F112/D112</f>
        <v>0.20916666666666667</v>
      </c>
    </row>
    <row r="113" spans="1:7" customFormat="1" ht="14.5" x14ac:dyDescent="0.35">
      <c r="A113" s="188" t="s">
        <v>354</v>
      </c>
      <c r="B113" s="188" t="s">
        <v>330</v>
      </c>
      <c r="C113" s="230">
        <v>685</v>
      </c>
      <c r="D113" s="226">
        <v>1200</v>
      </c>
      <c r="E113" s="227">
        <f>D113*2</f>
        <v>2400</v>
      </c>
      <c r="F113" s="228">
        <f>(C113*D113)/E113</f>
        <v>342.5</v>
      </c>
      <c r="G113" s="191">
        <f>F113/D113</f>
        <v>0.28541666666666665</v>
      </c>
    </row>
    <row r="114" spans="1:7" customFormat="1" ht="14.5" x14ac:dyDescent="0.35">
      <c r="A114" s="418" t="s">
        <v>355</v>
      </c>
      <c r="B114" s="418"/>
      <c r="C114" s="231">
        <f>SUM(C110:C113)</f>
        <v>3167.95</v>
      </c>
      <c r="D114" s="196"/>
      <c r="E114" s="196"/>
      <c r="F114" s="232">
        <f>SUM(F110:F113)</f>
        <v>1583.9749999999999</v>
      </c>
      <c r="G114" s="219">
        <f>SUM(G110:G113)</f>
        <v>1.3199791666666667</v>
      </c>
    </row>
    <row r="115" spans="1:7" customFormat="1" ht="14.5" x14ac:dyDescent="0.35">
      <c r="A115" s="428" t="s">
        <v>356</v>
      </c>
      <c r="B115" s="428"/>
      <c r="C115" s="428"/>
      <c r="D115" s="212"/>
      <c r="E115" s="212"/>
      <c r="F115" s="212"/>
      <c r="G115" s="212"/>
    </row>
    <row r="116" spans="1:7" customFormat="1" ht="14.5" x14ac:dyDescent="0.35">
      <c r="A116" s="426"/>
      <c r="B116" s="426"/>
      <c r="C116" s="426"/>
      <c r="D116" s="209"/>
      <c r="E116" s="212"/>
      <c r="F116" s="212"/>
      <c r="G116" s="212"/>
    </row>
    <row r="117" spans="1:7" customFormat="1" ht="14.5" x14ac:dyDescent="0.35">
      <c r="A117" s="212"/>
      <c r="B117" s="212"/>
      <c r="C117" s="212"/>
      <c r="D117" s="212"/>
      <c r="E117" s="212"/>
      <c r="F117" s="212"/>
      <c r="G117" s="212"/>
    </row>
    <row r="118" spans="1:7" customFormat="1" ht="36" x14ac:dyDescent="0.35">
      <c r="A118" s="215" t="s">
        <v>357</v>
      </c>
      <c r="B118" s="215" t="s">
        <v>127</v>
      </c>
      <c r="C118" s="216" t="s">
        <v>128</v>
      </c>
      <c r="D118" s="216" t="s">
        <v>129</v>
      </c>
      <c r="E118" s="216" t="s">
        <v>130</v>
      </c>
      <c r="F118" s="216" t="s">
        <v>131</v>
      </c>
      <c r="G118" s="216" t="s">
        <v>135</v>
      </c>
    </row>
    <row r="119" spans="1:7" customFormat="1" ht="14.5" x14ac:dyDescent="0.35">
      <c r="A119" s="233" t="s">
        <v>342</v>
      </c>
      <c r="B119" s="188" t="s">
        <v>165</v>
      </c>
      <c r="C119" s="188">
        <v>319.04000000000002</v>
      </c>
      <c r="D119" s="217">
        <v>220</v>
      </c>
      <c r="E119" s="199">
        <f>D119*7</f>
        <v>1540</v>
      </c>
      <c r="F119" s="200">
        <f>(C119*D119)/E119</f>
        <v>45.57714285714286</v>
      </c>
      <c r="G119" s="200">
        <f>F119/D119</f>
        <v>0.20716883116883117</v>
      </c>
    </row>
    <row r="120" spans="1:7" customFormat="1" ht="14.5" x14ac:dyDescent="0.35">
      <c r="A120" s="418" t="s">
        <v>358</v>
      </c>
      <c r="B120" s="418"/>
      <c r="C120" s="196">
        <f>SUM(C119:C119)</f>
        <v>319.04000000000002</v>
      </c>
      <c r="D120" s="180"/>
      <c r="E120" s="180"/>
      <c r="F120" s="218">
        <f>SUM(F119:F119)</f>
        <v>45.57714285714286</v>
      </c>
      <c r="G120" s="219">
        <f>SUM(G119:G119)</f>
        <v>0.20716883116883117</v>
      </c>
    </row>
    <row r="121" spans="1:7" customFormat="1" ht="14.5" x14ac:dyDescent="0.35">
      <c r="A121" s="427"/>
      <c r="B121" s="427"/>
      <c r="C121" s="427"/>
      <c r="D121" s="212"/>
      <c r="E121" s="212"/>
      <c r="F121" s="212"/>
      <c r="G121" s="212"/>
    </row>
    <row r="122" spans="1:7" customFormat="1" ht="15" thickBot="1" x14ac:dyDescent="0.4">
      <c r="A122" s="427"/>
      <c r="B122" s="427"/>
      <c r="C122" s="427"/>
      <c r="D122" s="212"/>
      <c r="E122" s="212"/>
      <c r="F122" s="212"/>
      <c r="G122" s="212"/>
    </row>
    <row r="123" spans="1:7" customFormat="1" ht="15" thickBot="1" x14ac:dyDescent="0.4">
      <c r="A123" s="212"/>
      <c r="B123" s="212"/>
      <c r="C123" s="212"/>
      <c r="D123" s="408" t="s">
        <v>138</v>
      </c>
      <c r="E123" s="409"/>
      <c r="F123" s="220">
        <f>F120+F114+F106</f>
        <v>2507.0471428571427</v>
      </c>
      <c r="G123" s="326"/>
    </row>
    <row r="124" spans="1:7" customFormat="1" ht="15" thickBot="1" x14ac:dyDescent="0.4">
      <c r="A124" s="212"/>
      <c r="B124" s="212"/>
      <c r="C124" s="212"/>
      <c r="D124" s="408" t="s">
        <v>139</v>
      </c>
      <c r="E124" s="409"/>
      <c r="F124" s="235">
        <f>G120+G114+G106</f>
        <v>2.9896396645021648</v>
      </c>
      <c r="G124" s="327"/>
    </row>
    <row r="127" spans="1:7" customFormat="1" ht="15.5" x14ac:dyDescent="0.35">
      <c r="A127" s="412" t="s">
        <v>359</v>
      </c>
      <c r="B127" s="412"/>
      <c r="C127" s="412"/>
      <c r="D127" s="412"/>
      <c r="E127" s="412"/>
      <c r="F127" s="412"/>
      <c r="G127" s="412"/>
    </row>
    <row r="128" spans="1:7" customFormat="1" ht="36" x14ac:dyDescent="0.35">
      <c r="A128" s="195" t="s">
        <v>360</v>
      </c>
      <c r="B128" s="196" t="s">
        <v>127</v>
      </c>
      <c r="C128" s="196" t="s">
        <v>128</v>
      </c>
      <c r="D128" s="196" t="s">
        <v>129</v>
      </c>
      <c r="E128" s="197" t="s">
        <v>130</v>
      </c>
      <c r="F128" s="196" t="s">
        <v>327</v>
      </c>
      <c r="G128" s="196" t="s">
        <v>135</v>
      </c>
    </row>
    <row r="129" spans="1:7" customFormat="1" ht="14.5" x14ac:dyDescent="0.35">
      <c r="A129" s="222" t="s">
        <v>361</v>
      </c>
      <c r="B129" s="188" t="s">
        <v>169</v>
      </c>
      <c r="C129" s="188">
        <v>860.03</v>
      </c>
      <c r="D129" s="217">
        <v>600</v>
      </c>
      <c r="E129" s="188">
        <f>D129*1</f>
        <v>600</v>
      </c>
      <c r="F129" s="200">
        <f>(C129*D129)/E129</f>
        <v>860.03</v>
      </c>
      <c r="G129" s="200">
        <f>F129/D129</f>
        <v>1.4333833333333332</v>
      </c>
    </row>
    <row r="130" spans="1:7" customFormat="1" ht="14.5" x14ac:dyDescent="0.35">
      <c r="A130" s="222" t="s">
        <v>362</v>
      </c>
      <c r="B130" s="188" t="s">
        <v>169</v>
      </c>
      <c r="C130" s="188">
        <v>139.96</v>
      </c>
      <c r="D130" s="236">
        <v>600</v>
      </c>
      <c r="E130" s="199">
        <f>D130*1</f>
        <v>600</v>
      </c>
      <c r="F130" s="188">
        <f>(C130*D130)/E130</f>
        <v>139.96</v>
      </c>
      <c r="G130" s="200">
        <f>F130/D130</f>
        <v>0.23326666666666668</v>
      </c>
    </row>
    <row r="131" spans="1:7" customFormat="1" ht="14.5" x14ac:dyDescent="0.35">
      <c r="A131" s="222" t="s">
        <v>363</v>
      </c>
      <c r="B131" s="201" t="s">
        <v>167</v>
      </c>
      <c r="C131" s="188">
        <f>3.085*4</f>
        <v>12.34</v>
      </c>
      <c r="D131" s="236">
        <v>600</v>
      </c>
      <c r="E131" s="199">
        <f>D131*0.25</f>
        <v>150</v>
      </c>
      <c r="F131" s="188">
        <f>(C131*D131)/E131</f>
        <v>49.36</v>
      </c>
      <c r="G131" s="200">
        <f>F131/D131</f>
        <v>8.2266666666666668E-2</v>
      </c>
    </row>
    <row r="132" spans="1:7" customFormat="1" ht="14.5" x14ac:dyDescent="0.35">
      <c r="A132" s="364" t="s">
        <v>337</v>
      </c>
      <c r="B132" s="364"/>
      <c r="C132" s="74">
        <f>SUM(C129:C131)</f>
        <v>1012.33</v>
      </c>
      <c r="D132" s="419"/>
      <c r="E132" s="419"/>
      <c r="F132" s="328">
        <f>SUM(F129:F131)</f>
        <v>1049.3499999999999</v>
      </c>
      <c r="G132" s="194">
        <f>SUM(G129:G131)</f>
        <v>1.7489166666666667</v>
      </c>
    </row>
    <row r="133" spans="1:7" customFormat="1" ht="14.5" x14ac:dyDescent="0.35">
      <c r="A133" s="225"/>
      <c r="B133" s="212"/>
      <c r="C133" s="212"/>
      <c r="D133" s="212"/>
      <c r="E133" s="212"/>
      <c r="F133" s="212"/>
      <c r="G133" s="212"/>
    </row>
    <row r="134" spans="1:7" customFormat="1" ht="14.5" x14ac:dyDescent="0.35">
      <c r="A134" s="225"/>
      <c r="B134" s="212"/>
      <c r="C134" s="212"/>
      <c r="D134" s="212"/>
      <c r="E134" s="212"/>
      <c r="F134" s="212"/>
      <c r="G134" s="212"/>
    </row>
    <row r="135" spans="1:7" customFormat="1" ht="36" x14ac:dyDescent="0.35">
      <c r="A135" s="195" t="s">
        <v>133</v>
      </c>
      <c r="B135" s="196" t="s">
        <v>127</v>
      </c>
      <c r="C135" s="197" t="s">
        <v>128</v>
      </c>
      <c r="D135" s="197" t="s">
        <v>129</v>
      </c>
      <c r="E135" s="197" t="s">
        <v>130</v>
      </c>
      <c r="F135" s="197" t="s">
        <v>131</v>
      </c>
      <c r="G135" s="197" t="s">
        <v>135</v>
      </c>
    </row>
    <row r="136" spans="1:7" customFormat="1" ht="14.5" x14ac:dyDescent="0.35">
      <c r="A136" s="188" t="s">
        <v>364</v>
      </c>
      <c r="B136" s="188" t="s">
        <v>165</v>
      </c>
      <c r="C136" s="188">
        <v>360</v>
      </c>
      <c r="D136" s="236">
        <v>1200</v>
      </c>
      <c r="E136" s="199">
        <f>D136*7</f>
        <v>8400</v>
      </c>
      <c r="F136" s="228">
        <f>(C136*D136)/E136</f>
        <v>51.428571428571431</v>
      </c>
      <c r="G136" s="200">
        <f>F136/D136</f>
        <v>4.2857142857142858E-2</v>
      </c>
    </row>
    <row r="137" spans="1:7" customFormat="1" ht="14.5" x14ac:dyDescent="0.35">
      <c r="A137" s="188" t="s">
        <v>365</v>
      </c>
      <c r="B137" s="188" t="s">
        <v>165</v>
      </c>
      <c r="C137" s="188">
        <v>240</v>
      </c>
      <c r="D137" s="236">
        <v>1200</v>
      </c>
      <c r="E137" s="199">
        <f>D137*7</f>
        <v>8400</v>
      </c>
      <c r="F137" s="228">
        <f>(C137*D137)/E137</f>
        <v>34.285714285714285</v>
      </c>
      <c r="G137" s="200">
        <f>F137/D137</f>
        <v>2.8571428571428571E-2</v>
      </c>
    </row>
    <row r="138" spans="1:7" customFormat="1" ht="14.5" x14ac:dyDescent="0.35">
      <c r="A138" s="188" t="s">
        <v>366</v>
      </c>
      <c r="B138" s="188" t="s">
        <v>165</v>
      </c>
      <c r="C138" s="188">
        <v>330</v>
      </c>
      <c r="D138" s="236">
        <v>1200</v>
      </c>
      <c r="E138" s="199">
        <f>D138*7</f>
        <v>8400</v>
      </c>
      <c r="F138" s="228">
        <f>(C138*D138)/E138</f>
        <v>47.142857142857146</v>
      </c>
      <c r="G138" s="200">
        <f>F138/D138</f>
        <v>3.9285714285714285E-2</v>
      </c>
    </row>
    <row r="139" spans="1:7" customFormat="1" ht="14.5" x14ac:dyDescent="0.35">
      <c r="A139" s="418" t="s">
        <v>355</v>
      </c>
      <c r="B139" s="418"/>
      <c r="C139" s="231">
        <f>SUM(C136:C138)</f>
        <v>930</v>
      </c>
      <c r="D139" s="196"/>
      <c r="E139" s="196"/>
      <c r="F139" s="218">
        <f>SUM(F136:F138)</f>
        <v>132.85714285714286</v>
      </c>
      <c r="G139" s="219">
        <f>SUM(G136:G138)</f>
        <v>0.11071428571428571</v>
      </c>
    </row>
    <row r="140" spans="1:7" customFormat="1" ht="14.5" x14ac:dyDescent="0.35">
      <c r="A140" s="209"/>
      <c r="B140" s="211"/>
      <c r="C140" s="211"/>
      <c r="D140" s="212"/>
      <c r="E140" s="212"/>
      <c r="F140" s="212"/>
      <c r="G140" s="212"/>
    </row>
    <row r="141" spans="1:7" customFormat="1" ht="14.5" x14ac:dyDescent="0.35">
      <c r="A141" s="212"/>
      <c r="B141" s="212"/>
      <c r="C141" s="212"/>
      <c r="D141" s="212"/>
      <c r="E141" s="212"/>
      <c r="F141" s="212"/>
      <c r="G141" s="212"/>
    </row>
    <row r="142" spans="1:7" customFormat="1" ht="36" x14ac:dyDescent="0.35">
      <c r="A142" s="214" t="s">
        <v>136</v>
      </c>
      <c r="B142" s="215" t="s">
        <v>127</v>
      </c>
      <c r="C142" s="216" t="s">
        <v>128</v>
      </c>
      <c r="D142" s="216" t="s">
        <v>129</v>
      </c>
      <c r="E142" s="216" t="s">
        <v>130</v>
      </c>
      <c r="F142" s="216" t="s">
        <v>131</v>
      </c>
      <c r="G142" s="216" t="s">
        <v>135</v>
      </c>
    </row>
    <row r="143" spans="1:7" customFormat="1" ht="14.5" x14ac:dyDescent="0.35">
      <c r="A143" s="201" t="s">
        <v>342</v>
      </c>
      <c r="B143" s="201" t="s">
        <v>165</v>
      </c>
      <c r="C143" s="188">
        <v>146.56</v>
      </c>
      <c r="D143" s="217">
        <v>220</v>
      </c>
      <c r="E143" s="199">
        <f>D143*7</f>
        <v>1540</v>
      </c>
      <c r="F143" s="200">
        <f>(C143*D143)/E143</f>
        <v>20.937142857142856</v>
      </c>
      <c r="G143" s="200">
        <f>F143/D143</f>
        <v>9.5168831168831167E-2</v>
      </c>
    </row>
    <row r="144" spans="1:7" customFormat="1" ht="14.5" x14ac:dyDescent="0.35">
      <c r="A144" s="418" t="s">
        <v>358</v>
      </c>
      <c r="B144" s="418"/>
      <c r="C144" s="196">
        <f>SUM(C143:C143)</f>
        <v>146.56</v>
      </c>
      <c r="D144" s="180"/>
      <c r="E144" s="180"/>
      <c r="F144" s="218">
        <f>SUM(F143:F143)</f>
        <v>20.937142857142856</v>
      </c>
      <c r="G144" s="219">
        <f>SUM(G143:G143)</f>
        <v>9.5168831168831167E-2</v>
      </c>
    </row>
    <row r="145" spans="1:7" customFormat="1" ht="14.5" x14ac:dyDescent="0.35">
      <c r="A145" s="427"/>
      <c r="B145" s="427"/>
      <c r="C145" s="427"/>
      <c r="D145" s="212"/>
      <c r="E145" s="212"/>
      <c r="F145" s="212"/>
      <c r="G145" s="212"/>
    </row>
    <row r="146" spans="1:7" customFormat="1" ht="15" thickBot="1" x14ac:dyDescent="0.4">
      <c r="A146" s="234"/>
      <c r="B146" s="234"/>
      <c r="C146" s="234"/>
      <c r="D146" s="234"/>
      <c r="E146" s="234"/>
      <c r="F146" s="234"/>
      <c r="G146" s="234"/>
    </row>
    <row r="147" spans="1:7" customFormat="1" ht="15" thickBot="1" x14ac:dyDescent="0.4">
      <c r="A147" s="212"/>
      <c r="B147" s="212"/>
      <c r="C147" s="212"/>
      <c r="D147" s="408" t="s">
        <v>138</v>
      </c>
      <c r="E147" s="409"/>
      <c r="F147" s="220">
        <f>F132+F139+F144</f>
        <v>1203.1442857142856</v>
      </c>
      <c r="G147" s="212"/>
    </row>
    <row r="148" spans="1:7" customFormat="1" ht="15" thickBot="1" x14ac:dyDescent="0.4">
      <c r="A148" s="427"/>
      <c r="B148" s="427"/>
      <c r="C148" s="427"/>
      <c r="D148" s="408" t="s">
        <v>139</v>
      </c>
      <c r="E148" s="409"/>
      <c r="F148" s="221">
        <f>G132+G139+G144</f>
        <v>1.9547997835497837</v>
      </c>
      <c r="G148" s="212"/>
    </row>
    <row r="151" spans="1:7" customFormat="1" ht="15.5" x14ac:dyDescent="0.35">
      <c r="A151" s="412" t="s">
        <v>367</v>
      </c>
      <c r="B151" s="412"/>
      <c r="C151" s="412"/>
      <c r="D151" s="412"/>
      <c r="E151" s="412"/>
      <c r="F151" s="412"/>
      <c r="G151" s="412"/>
    </row>
    <row r="152" spans="1:7" customFormat="1" ht="36" x14ac:dyDescent="0.35">
      <c r="A152" s="195" t="s">
        <v>126</v>
      </c>
      <c r="B152" s="196" t="s">
        <v>127</v>
      </c>
      <c r="C152" s="197" t="s">
        <v>128</v>
      </c>
      <c r="D152" s="197" t="s">
        <v>129</v>
      </c>
      <c r="E152" s="197" t="s">
        <v>130</v>
      </c>
      <c r="F152" s="197" t="s">
        <v>131</v>
      </c>
      <c r="G152" s="237" t="s">
        <v>132</v>
      </c>
    </row>
    <row r="153" spans="1:7" customFormat="1" ht="14.5" x14ac:dyDescent="0.35">
      <c r="A153" s="196" t="s">
        <v>368</v>
      </c>
      <c r="B153" s="188" t="s">
        <v>371</v>
      </c>
      <c r="C153" s="200">
        <f>712.5895-139.93</f>
        <v>572.65949999999998</v>
      </c>
      <c r="D153" s="217">
        <v>800</v>
      </c>
      <c r="E153" s="188">
        <f>D153*1</f>
        <v>800</v>
      </c>
      <c r="F153" s="189">
        <f>(C153*D153)/E153</f>
        <v>572.65949999999998</v>
      </c>
      <c r="G153" s="191">
        <f>F153/D153</f>
        <v>0.71582437499999996</v>
      </c>
    </row>
    <row r="154" spans="1:7" customFormat="1" ht="14.5" x14ac:dyDescent="0.35">
      <c r="A154" s="188" t="s">
        <v>369</v>
      </c>
      <c r="B154" s="188" t="s">
        <v>407</v>
      </c>
      <c r="C154" s="188">
        <f>139.93*4</f>
        <v>559.72</v>
      </c>
      <c r="D154" s="217">
        <v>800</v>
      </c>
      <c r="E154" s="199">
        <f>D154*0.5</f>
        <v>400</v>
      </c>
      <c r="F154" s="189">
        <f>(C154*D154)/E154</f>
        <v>1119.44</v>
      </c>
      <c r="G154" s="191">
        <f>F154/D154</f>
        <v>1.3993</v>
      </c>
    </row>
    <row r="155" spans="1:7" customFormat="1" ht="14.5" x14ac:dyDescent="0.35">
      <c r="A155" s="405"/>
      <c r="B155" s="406"/>
      <c r="C155" s="231">
        <f>SUM(C153:C154)</f>
        <v>1132.3795</v>
      </c>
      <c r="D155" s="405"/>
      <c r="E155" s="406"/>
      <c r="F155" s="329">
        <f>SUM(F153:F154)</f>
        <v>1692.0995</v>
      </c>
      <c r="G155" s="238">
        <f>SUM(G153:G154)</f>
        <v>2.1151243749999997</v>
      </c>
    </row>
    <row r="156" spans="1:7" customFormat="1" ht="14.5" x14ac:dyDescent="0.35">
      <c r="A156" s="212"/>
      <c r="B156" s="212"/>
      <c r="C156" s="212"/>
      <c r="D156" s="212"/>
      <c r="E156" s="212"/>
      <c r="F156" s="212"/>
      <c r="G156" s="212"/>
    </row>
    <row r="157" spans="1:7" customFormat="1" ht="14.5" x14ac:dyDescent="0.35">
      <c r="A157" s="212"/>
      <c r="B157" s="212"/>
      <c r="C157" s="212"/>
      <c r="D157" s="212"/>
      <c r="E157" s="212"/>
      <c r="F157" s="212"/>
      <c r="G157" s="212"/>
    </row>
    <row r="158" spans="1:7" customFormat="1" ht="36" x14ac:dyDescent="0.35">
      <c r="A158" s="196" t="s">
        <v>133</v>
      </c>
      <c r="B158" s="196" t="s">
        <v>127</v>
      </c>
      <c r="C158" s="197" t="s">
        <v>128</v>
      </c>
      <c r="D158" s="197" t="s">
        <v>129</v>
      </c>
      <c r="E158" s="197" t="s">
        <v>130</v>
      </c>
      <c r="F158" s="197" t="s">
        <v>131</v>
      </c>
      <c r="G158" s="197" t="s">
        <v>135</v>
      </c>
    </row>
    <row r="159" spans="1:7" customFormat="1" ht="14.5" x14ac:dyDescent="0.35">
      <c r="A159" s="239" t="s">
        <v>370</v>
      </c>
      <c r="B159" s="188" t="s">
        <v>419</v>
      </c>
      <c r="C159" s="188">
        <v>560</v>
      </c>
      <c r="D159" s="198">
        <v>1200</v>
      </c>
      <c r="E159" s="199">
        <f>D159*7</f>
        <v>8400</v>
      </c>
      <c r="F159" s="200">
        <f>(C159*D159)/E159</f>
        <v>80</v>
      </c>
      <c r="G159" s="200">
        <f>F159/D159</f>
        <v>6.6666666666666666E-2</v>
      </c>
    </row>
    <row r="160" spans="1:7" customFormat="1" ht="14.5" x14ac:dyDescent="0.35">
      <c r="A160" s="405" t="s">
        <v>355</v>
      </c>
      <c r="B160" s="406"/>
      <c r="C160" s="231">
        <f>SUM(C159:C159)</f>
        <v>560</v>
      </c>
      <c r="D160" s="180"/>
      <c r="E160" s="180"/>
      <c r="F160" s="219">
        <f>SUM(F159:F159)</f>
        <v>80</v>
      </c>
      <c r="G160" s="218">
        <f>SUM(G159:G159)</f>
        <v>6.6666666666666666E-2</v>
      </c>
    </row>
    <row r="161" spans="1:7" customFormat="1" ht="14.5" x14ac:dyDescent="0.35">
      <c r="A161" s="407"/>
      <c r="B161" s="407"/>
      <c r="C161" s="407"/>
      <c r="D161" s="212"/>
      <c r="E161" s="212"/>
      <c r="F161" s="212"/>
      <c r="G161" s="212"/>
    </row>
    <row r="162" spans="1:7" customFormat="1" ht="14.5" x14ac:dyDescent="0.35">
      <c r="A162" s="212"/>
      <c r="B162" s="212"/>
      <c r="C162" s="212"/>
      <c r="D162" s="212"/>
      <c r="E162" s="212"/>
      <c r="F162" s="212"/>
      <c r="G162" s="212"/>
    </row>
    <row r="163" spans="1:7" customFormat="1" ht="36" x14ac:dyDescent="0.35">
      <c r="A163" s="215" t="s">
        <v>136</v>
      </c>
      <c r="B163" s="215" t="s">
        <v>127</v>
      </c>
      <c r="C163" s="216" t="s">
        <v>128</v>
      </c>
      <c r="D163" s="216" t="s">
        <v>129</v>
      </c>
      <c r="E163" s="216" t="s">
        <v>130</v>
      </c>
      <c r="F163" s="216" t="s">
        <v>134</v>
      </c>
      <c r="G163" s="216" t="s">
        <v>135</v>
      </c>
    </row>
    <row r="164" spans="1:7" customFormat="1" ht="14.5" x14ac:dyDescent="0.35">
      <c r="A164" s="233" t="s">
        <v>372</v>
      </c>
      <c r="B164" s="188" t="s">
        <v>418</v>
      </c>
      <c r="C164" s="188">
        <v>153.03</v>
      </c>
      <c r="D164" s="217">
        <v>440</v>
      </c>
      <c r="E164" s="199">
        <f>D164*15</f>
        <v>6600</v>
      </c>
      <c r="F164" s="200">
        <f>(C164*D164)/E164</f>
        <v>10.202</v>
      </c>
      <c r="G164" s="200">
        <f>F164/D164</f>
        <v>2.3186363636363637E-2</v>
      </c>
    </row>
    <row r="165" spans="1:7" customFormat="1" ht="14.5" x14ac:dyDescent="0.35">
      <c r="A165" s="405" t="s">
        <v>373</v>
      </c>
      <c r="B165" s="406"/>
      <c r="C165" s="196">
        <f>SUM(C164:C164)</f>
        <v>153.03</v>
      </c>
      <c r="D165" s="180"/>
      <c r="E165" s="180"/>
      <c r="F165" s="219">
        <f>SUM(F164:F164)</f>
        <v>10.202</v>
      </c>
      <c r="G165" s="218">
        <f>SUM(G164:G164)</f>
        <v>2.3186363636363637E-2</v>
      </c>
    </row>
    <row r="166" spans="1:7" customFormat="1" ht="14.5" x14ac:dyDescent="0.35">
      <c r="A166" s="234"/>
      <c r="B166" s="234"/>
      <c r="C166" s="234"/>
      <c r="D166" s="234"/>
      <c r="E166" s="234"/>
      <c r="F166" s="234"/>
      <c r="G166" s="234"/>
    </row>
    <row r="167" spans="1:7" customFormat="1" ht="15" thickBot="1" x14ac:dyDescent="0.4">
      <c r="A167" s="212"/>
      <c r="B167" s="212"/>
      <c r="C167" s="212"/>
      <c r="D167" s="212"/>
      <c r="E167" s="212"/>
      <c r="F167" s="212"/>
      <c r="G167" s="212"/>
    </row>
    <row r="168" spans="1:7" customFormat="1" ht="15" thickBot="1" x14ac:dyDescent="0.4">
      <c r="E168" s="408" t="s">
        <v>138</v>
      </c>
      <c r="F168" s="409"/>
      <c r="G168" s="220">
        <f>F155+F160+F165</f>
        <v>1782.3015</v>
      </c>
    </row>
    <row r="169" spans="1:7" customFormat="1" ht="15" thickBot="1" x14ac:dyDescent="0.4">
      <c r="E169" s="408" t="s">
        <v>139</v>
      </c>
      <c r="F169" s="409"/>
      <c r="G169" s="221">
        <f>G155+G165+G160</f>
        <v>2.2049774053030302</v>
      </c>
    </row>
    <row r="173" spans="1:7" customFormat="1" ht="15.5" x14ac:dyDescent="0.35">
      <c r="A173" s="404" t="s">
        <v>406</v>
      </c>
      <c r="B173" s="404"/>
      <c r="C173" s="404"/>
      <c r="D173" s="404"/>
      <c r="E173" s="404"/>
      <c r="F173" s="404"/>
      <c r="G173" s="404"/>
    </row>
    <row r="174" spans="1:7" customFormat="1" ht="36" x14ac:dyDescent="0.35">
      <c r="A174" s="195" t="s">
        <v>126</v>
      </c>
      <c r="B174" s="196" t="s">
        <v>127</v>
      </c>
      <c r="C174" s="197" t="s">
        <v>128</v>
      </c>
      <c r="D174" s="197" t="s">
        <v>129</v>
      </c>
      <c r="E174" s="197" t="s">
        <v>130</v>
      </c>
      <c r="F174" s="197" t="s">
        <v>131</v>
      </c>
      <c r="G174" s="237" t="s">
        <v>132</v>
      </c>
    </row>
    <row r="175" spans="1:7" customFormat="1" ht="14.5" x14ac:dyDescent="0.35">
      <c r="A175" s="196" t="s">
        <v>368</v>
      </c>
      <c r="B175" s="188" t="s">
        <v>371</v>
      </c>
      <c r="C175" s="200">
        <v>246.34</v>
      </c>
      <c r="D175" s="217">
        <v>800</v>
      </c>
      <c r="E175" s="188">
        <f>D175*1</f>
        <v>800</v>
      </c>
      <c r="F175" s="200">
        <f>(C175*D175)/E175</f>
        <v>246.34</v>
      </c>
      <c r="G175" s="191">
        <f>F175/D175</f>
        <v>0.307925</v>
      </c>
    </row>
    <row r="176" spans="1:7" customFormat="1" ht="14.5" x14ac:dyDescent="0.35">
      <c r="A176" s="188" t="s">
        <v>369</v>
      </c>
      <c r="B176" s="188" t="s">
        <v>407</v>
      </c>
      <c r="C176" s="188">
        <f>(2.1*1.1)*4</f>
        <v>9.240000000000002</v>
      </c>
      <c r="D176" s="217">
        <v>800</v>
      </c>
      <c r="E176" s="199">
        <f>D176*0.5</f>
        <v>400</v>
      </c>
      <c r="F176" s="200">
        <f>(C176*D176)/E176</f>
        <v>18.480000000000004</v>
      </c>
      <c r="G176" s="191">
        <f>F176/D176</f>
        <v>2.3100000000000006E-2</v>
      </c>
    </row>
    <row r="177" spans="1:7" customFormat="1" ht="14.5" x14ac:dyDescent="0.35">
      <c r="A177" s="405"/>
      <c r="B177" s="406"/>
      <c r="C177" s="231">
        <f>SUM(C175:C176)</f>
        <v>255.58</v>
      </c>
      <c r="D177" s="405"/>
      <c r="E177" s="406"/>
      <c r="F177" s="329">
        <f>SUM(F175:F176)</f>
        <v>264.82</v>
      </c>
      <c r="G177" s="238">
        <f>SUM(G175:G176)</f>
        <v>0.33102500000000001</v>
      </c>
    </row>
    <row r="178" spans="1:7" customFormat="1" ht="14.5" x14ac:dyDescent="0.35">
      <c r="A178" s="212"/>
      <c r="B178" s="212"/>
      <c r="C178" s="212"/>
      <c r="D178" s="212"/>
      <c r="E178" s="212"/>
      <c r="F178" s="212"/>
      <c r="G178" s="212"/>
    </row>
    <row r="179" spans="1:7" customFormat="1" ht="14.5" x14ac:dyDescent="0.35">
      <c r="A179" s="212"/>
      <c r="B179" s="212"/>
      <c r="C179" s="212"/>
      <c r="D179" s="212"/>
      <c r="E179" s="212"/>
      <c r="F179" s="212"/>
      <c r="G179" s="212"/>
    </row>
    <row r="180" spans="1:7" customFormat="1" ht="36" x14ac:dyDescent="0.35">
      <c r="A180" s="196" t="s">
        <v>133</v>
      </c>
      <c r="B180" s="196" t="s">
        <v>127</v>
      </c>
      <c r="C180" s="197" t="s">
        <v>128</v>
      </c>
      <c r="D180" s="197" t="s">
        <v>129</v>
      </c>
      <c r="E180" s="197" t="s">
        <v>130</v>
      </c>
      <c r="F180" s="197" t="s">
        <v>131</v>
      </c>
      <c r="G180" s="197" t="s">
        <v>135</v>
      </c>
    </row>
    <row r="181" spans="1:7" customFormat="1" ht="14.5" x14ac:dyDescent="0.35">
      <c r="A181" s="239" t="s">
        <v>370</v>
      </c>
      <c r="B181" s="188" t="s">
        <v>371</v>
      </c>
      <c r="C181" s="188">
        <v>1857.41</v>
      </c>
      <c r="D181" s="198">
        <v>2400</v>
      </c>
      <c r="E181" s="199">
        <f>D181*1</f>
        <v>2400</v>
      </c>
      <c r="F181" s="200">
        <f>(C181*D181)/E181</f>
        <v>1857.41</v>
      </c>
      <c r="G181" s="200">
        <f>F181/D181</f>
        <v>0.77392083333333339</v>
      </c>
    </row>
    <row r="182" spans="1:7" customFormat="1" ht="14.5" x14ac:dyDescent="0.35">
      <c r="A182" s="405" t="s">
        <v>355</v>
      </c>
      <c r="B182" s="406"/>
      <c r="C182" s="231">
        <f>SUM(C181:C181)</f>
        <v>1857.41</v>
      </c>
      <c r="D182" s="180"/>
      <c r="E182" s="180"/>
      <c r="F182" s="329">
        <f>SUM(F181:F181)</f>
        <v>1857.41</v>
      </c>
      <c r="G182" s="218">
        <f>SUM(G181:G181)</f>
        <v>0.77392083333333339</v>
      </c>
    </row>
    <row r="183" spans="1:7" customFormat="1" ht="14.5" x14ac:dyDescent="0.35">
      <c r="A183" s="407"/>
      <c r="B183" s="407"/>
      <c r="C183" s="407"/>
      <c r="D183" s="212"/>
      <c r="E183" s="212"/>
      <c r="F183" s="212"/>
      <c r="G183" s="212"/>
    </row>
    <row r="184" spans="1:7" customFormat="1" ht="14.5" x14ac:dyDescent="0.35">
      <c r="A184" s="212"/>
      <c r="B184" s="212"/>
      <c r="C184" s="212"/>
      <c r="D184" s="212"/>
      <c r="E184" s="212"/>
      <c r="F184" s="212"/>
      <c r="G184" s="212"/>
    </row>
    <row r="185" spans="1:7" customFormat="1" ht="36" x14ac:dyDescent="0.35">
      <c r="A185" s="215" t="s">
        <v>136</v>
      </c>
      <c r="B185" s="215" t="s">
        <v>127</v>
      </c>
      <c r="C185" s="216" t="s">
        <v>128</v>
      </c>
      <c r="D185" s="216" t="s">
        <v>129</v>
      </c>
      <c r="E185" s="216" t="s">
        <v>130</v>
      </c>
      <c r="F185" s="216" t="s">
        <v>134</v>
      </c>
      <c r="G185" s="216" t="s">
        <v>135</v>
      </c>
    </row>
    <row r="186" spans="1:7" customFormat="1" ht="14.5" x14ac:dyDescent="0.35">
      <c r="A186" s="233" t="s">
        <v>372</v>
      </c>
      <c r="B186" s="188" t="s">
        <v>137</v>
      </c>
      <c r="C186" s="188">
        <v>25.83</v>
      </c>
      <c r="D186" s="217">
        <v>440</v>
      </c>
      <c r="E186" s="199">
        <f>D186*15</f>
        <v>6600</v>
      </c>
      <c r="F186" s="200">
        <f>(C186*D186)/E186</f>
        <v>1.7219999999999998</v>
      </c>
      <c r="G186" s="200">
        <f>F186/D186</f>
        <v>3.9136363636363631E-3</v>
      </c>
    </row>
    <row r="187" spans="1:7" customFormat="1" ht="14.5" x14ac:dyDescent="0.35">
      <c r="A187" s="330" t="s">
        <v>417</v>
      </c>
      <c r="B187" s="104" t="s">
        <v>137</v>
      </c>
      <c r="C187" s="80">
        <v>19.010000000000002</v>
      </c>
      <c r="D187" s="331">
        <v>110</v>
      </c>
      <c r="E187" s="88">
        <f>D187*15</f>
        <v>1650</v>
      </c>
      <c r="F187" s="95">
        <f>(C187*D187)/E187</f>
        <v>1.2673333333333336</v>
      </c>
      <c r="G187" s="89">
        <f>F187/D187</f>
        <v>1.1521212121212125E-2</v>
      </c>
    </row>
    <row r="188" spans="1:7" customFormat="1" ht="14.5" x14ac:dyDescent="0.35">
      <c r="A188" s="405" t="s">
        <v>373</v>
      </c>
      <c r="B188" s="406"/>
      <c r="C188" s="196">
        <f>SUM(C186:C187)</f>
        <v>44.84</v>
      </c>
      <c r="D188" s="180"/>
      <c r="E188" s="180"/>
      <c r="F188" s="219">
        <f>SUM(F186:F187)</f>
        <v>2.9893333333333336</v>
      </c>
      <c r="G188" s="218">
        <f>SUM(G186:G187)</f>
        <v>1.5434848484848489E-2</v>
      </c>
    </row>
    <row r="189" spans="1:7" customFormat="1" ht="14.5" x14ac:dyDescent="0.35">
      <c r="A189" s="234"/>
      <c r="B189" s="234"/>
      <c r="C189" s="234"/>
      <c r="D189" s="234"/>
      <c r="E189" s="234"/>
      <c r="F189" s="234"/>
      <c r="G189" s="234"/>
    </row>
    <row r="191" spans="1:7" ht="13.5" thickBot="1" x14ac:dyDescent="0.35">
      <c r="C191" s="304"/>
    </row>
    <row r="192" spans="1:7" ht="15" thickBot="1" x14ac:dyDescent="0.4">
      <c r="E192" s="408" t="s">
        <v>138</v>
      </c>
      <c r="F192" s="409"/>
      <c r="G192" s="220">
        <f>F177+F182+F188</f>
        <v>2125.2193333333335</v>
      </c>
    </row>
    <row r="193" spans="5:7" ht="15" thickBot="1" x14ac:dyDescent="0.4">
      <c r="E193" s="408" t="s">
        <v>139</v>
      </c>
      <c r="F193" s="409"/>
      <c r="G193" s="221">
        <f>G177+G188+G182</f>
        <v>1.1203806818181818</v>
      </c>
    </row>
  </sheetData>
  <mergeCells count="64">
    <mergeCell ref="D64:E64"/>
    <mergeCell ref="A165:B165"/>
    <mergeCell ref="E168:F168"/>
    <mergeCell ref="E169:F169"/>
    <mergeCell ref="A37:G37"/>
    <mergeCell ref="A40:B40"/>
    <mergeCell ref="D40:E40"/>
    <mergeCell ref="A45:B45"/>
    <mergeCell ref="A47:C47"/>
    <mergeCell ref="D48:E48"/>
    <mergeCell ref="D49:E49"/>
    <mergeCell ref="A52:G52"/>
    <mergeCell ref="A55:B55"/>
    <mergeCell ref="D55:E55"/>
    <mergeCell ref="A60:B60"/>
    <mergeCell ref="A62:C62"/>
    <mergeCell ref="D63:E63"/>
    <mergeCell ref="A151:G151"/>
    <mergeCell ref="A155:B155"/>
    <mergeCell ref="D155:E155"/>
    <mergeCell ref="A160:B160"/>
    <mergeCell ref="A122:C122"/>
    <mergeCell ref="D123:E123"/>
    <mergeCell ref="D124:E124"/>
    <mergeCell ref="A127:G127"/>
    <mergeCell ref="A132:B132"/>
    <mergeCell ref="D132:E132"/>
    <mergeCell ref="A114:B114"/>
    <mergeCell ref="A115:C115"/>
    <mergeCell ref="A116:C116"/>
    <mergeCell ref="A120:B120"/>
    <mergeCell ref="A121:C121"/>
    <mergeCell ref="A139:B139"/>
    <mergeCell ref="A144:B144"/>
    <mergeCell ref="A145:C145"/>
    <mergeCell ref="D147:E147"/>
    <mergeCell ref="A148:C148"/>
    <mergeCell ref="D148:E148"/>
    <mergeCell ref="A1:G1"/>
    <mergeCell ref="A9:B9"/>
    <mergeCell ref="A17:B17"/>
    <mergeCell ref="A30:B30"/>
    <mergeCell ref="A33:C33"/>
    <mergeCell ref="A188:B188"/>
    <mergeCell ref="E192:F192"/>
    <mergeCell ref="E193:F193"/>
    <mergeCell ref="E33:F33"/>
    <mergeCell ref="E34:F34"/>
    <mergeCell ref="A68:G68"/>
    <mergeCell ref="A78:B78"/>
    <mergeCell ref="D78:E78"/>
    <mergeCell ref="A85:B85"/>
    <mergeCell ref="A92:B92"/>
    <mergeCell ref="D94:E94"/>
    <mergeCell ref="D95:E95"/>
    <mergeCell ref="A98:G98"/>
    <mergeCell ref="A106:B106"/>
    <mergeCell ref="D106:E106"/>
    <mergeCell ref="A161:C161"/>
    <mergeCell ref="A173:G173"/>
    <mergeCell ref="A177:B177"/>
    <mergeCell ref="D177:E177"/>
    <mergeCell ref="A182:B182"/>
    <mergeCell ref="A183:C183"/>
  </mergeCells>
  <phoneticPr fontId="46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0"/>
  <sheetViews>
    <sheetView showGridLines="0" workbookViewId="0">
      <selection sqref="A1:F1"/>
    </sheetView>
  </sheetViews>
  <sheetFormatPr defaultColWidth="8.81640625" defaultRowHeight="15.5" x14ac:dyDescent="0.35"/>
  <cols>
    <col min="1" max="1" width="5.81640625" style="136" bestFit="1" customWidth="1"/>
    <col min="2" max="2" width="50.1796875" style="136" customWidth="1"/>
    <col min="3" max="3" width="10.54296875" style="136" customWidth="1"/>
    <col min="4" max="4" width="15.1796875" style="136" customWidth="1"/>
    <col min="5" max="6" width="11.453125" style="136" bestFit="1" customWidth="1"/>
    <col min="7" max="16384" width="8.81640625" style="127"/>
  </cols>
  <sheetData>
    <row r="1" spans="1:6" ht="18.75" customHeight="1" x14ac:dyDescent="0.35">
      <c r="A1" s="430" t="s">
        <v>199</v>
      </c>
      <c r="B1" s="431"/>
      <c r="C1" s="431"/>
      <c r="D1" s="431"/>
      <c r="E1" s="431"/>
      <c r="F1" s="431"/>
    </row>
    <row r="2" spans="1:6" ht="46.5" x14ac:dyDescent="0.35">
      <c r="A2" s="137" t="s">
        <v>54</v>
      </c>
      <c r="B2" s="138" t="s">
        <v>200</v>
      </c>
      <c r="C2" s="138" t="s">
        <v>99</v>
      </c>
      <c r="D2" s="139" t="s">
        <v>209</v>
      </c>
      <c r="E2" s="128" t="s">
        <v>186</v>
      </c>
      <c r="F2" s="128" t="s">
        <v>187</v>
      </c>
    </row>
    <row r="3" spans="1:6" ht="31" x14ac:dyDescent="0.35">
      <c r="A3" s="108">
        <v>1</v>
      </c>
      <c r="B3" s="129" t="s">
        <v>201</v>
      </c>
      <c r="C3" s="130" t="s">
        <v>202</v>
      </c>
      <c r="D3" s="131">
        <v>6</v>
      </c>
      <c r="E3" s="132">
        <v>70.239999999999995</v>
      </c>
      <c r="F3" s="132">
        <f>D3*E3</f>
        <v>421.43999999999994</v>
      </c>
    </row>
    <row r="4" spans="1:6" ht="31" x14ac:dyDescent="0.35">
      <c r="A4" s="108">
        <v>2</v>
      </c>
      <c r="B4" s="129" t="s">
        <v>203</v>
      </c>
      <c r="C4" s="133" t="s">
        <v>202</v>
      </c>
      <c r="D4" s="131">
        <v>8</v>
      </c>
      <c r="E4" s="132">
        <v>53.17</v>
      </c>
      <c r="F4" s="132">
        <f t="shared" ref="F4:F8" si="0">D4*E4</f>
        <v>425.36</v>
      </c>
    </row>
    <row r="5" spans="1:6" ht="31" x14ac:dyDescent="0.35">
      <c r="A5" s="108">
        <v>3</v>
      </c>
      <c r="B5" s="129" t="s">
        <v>204</v>
      </c>
      <c r="C5" s="131" t="s">
        <v>202</v>
      </c>
      <c r="D5" s="131">
        <v>2</v>
      </c>
      <c r="E5" s="132">
        <v>72.75</v>
      </c>
      <c r="F5" s="132">
        <f t="shared" si="0"/>
        <v>145.5</v>
      </c>
    </row>
    <row r="6" spans="1:6" ht="31" x14ac:dyDescent="0.35">
      <c r="A6" s="108">
        <v>4</v>
      </c>
      <c r="B6" s="129" t="s">
        <v>205</v>
      </c>
      <c r="C6" s="130" t="s">
        <v>202</v>
      </c>
      <c r="D6" s="131">
        <v>2</v>
      </c>
      <c r="E6" s="132">
        <v>67.58</v>
      </c>
      <c r="F6" s="132">
        <f t="shared" si="0"/>
        <v>135.16</v>
      </c>
    </row>
    <row r="7" spans="1:6" ht="31" x14ac:dyDescent="0.35">
      <c r="A7" s="108">
        <v>5</v>
      </c>
      <c r="B7" s="129" t="s">
        <v>206</v>
      </c>
      <c r="C7" s="130" t="s">
        <v>207</v>
      </c>
      <c r="D7" s="131">
        <v>8</v>
      </c>
      <c r="E7" s="132">
        <v>14.63</v>
      </c>
      <c r="F7" s="132">
        <f t="shared" si="0"/>
        <v>117.04</v>
      </c>
    </row>
    <row r="8" spans="1:6" ht="31" x14ac:dyDescent="0.35">
      <c r="A8" s="108">
        <v>6</v>
      </c>
      <c r="B8" s="129" t="s">
        <v>208</v>
      </c>
      <c r="C8" s="130" t="s">
        <v>202</v>
      </c>
      <c r="D8" s="131">
        <v>1</v>
      </c>
      <c r="E8" s="132">
        <v>28.32</v>
      </c>
      <c r="F8" s="132">
        <f t="shared" si="0"/>
        <v>28.32</v>
      </c>
    </row>
    <row r="9" spans="1:6" ht="15" customHeight="1" x14ac:dyDescent="0.35">
      <c r="A9" s="432" t="s">
        <v>210</v>
      </c>
      <c r="B9" s="432"/>
      <c r="C9" s="432"/>
      <c r="D9" s="432"/>
      <c r="E9" s="432"/>
      <c r="F9" s="134">
        <f>SUM(F3:F8)</f>
        <v>1272.82</v>
      </c>
    </row>
    <row r="10" spans="1:6" x14ac:dyDescent="0.35">
      <c r="A10" s="433" t="s">
        <v>141</v>
      </c>
      <c r="B10" s="433"/>
      <c r="C10" s="433"/>
      <c r="D10" s="433"/>
      <c r="E10" s="433"/>
      <c r="F10" s="135">
        <f>F9/24</f>
        <v>53.034166666666664</v>
      </c>
    </row>
  </sheetData>
  <mergeCells count="3">
    <mergeCell ref="A1:F1"/>
    <mergeCell ref="A9:E9"/>
    <mergeCell ref="A10:E10"/>
  </mergeCells>
  <pageMargins left="0.511811024" right="0.511811024" top="0.78740157499999996" bottom="0.78740157499999996" header="0.31496062000000002" footer="0.31496062000000002"/>
  <pageSetup paperSize="9" scale="8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6"/>
  <sheetViews>
    <sheetView showGridLines="0" topLeftCell="A24" workbookViewId="0">
      <selection sqref="A1:F1"/>
    </sheetView>
  </sheetViews>
  <sheetFormatPr defaultColWidth="8.81640625" defaultRowHeight="13" x14ac:dyDescent="0.3"/>
  <cols>
    <col min="1" max="1" width="9" style="5" bestFit="1" customWidth="1"/>
    <col min="2" max="2" width="60.7265625" style="5" customWidth="1"/>
    <col min="3" max="3" width="10.81640625" style="5" customWidth="1"/>
    <col min="4" max="4" width="11" style="5" customWidth="1"/>
    <col min="5" max="5" width="16.54296875" style="5" bestFit="1" customWidth="1"/>
    <col min="6" max="6" width="13.7265625" style="5" customWidth="1"/>
    <col min="7" max="16384" width="8.81640625" style="5"/>
  </cols>
  <sheetData>
    <row r="1" spans="1:6" ht="26.15" customHeight="1" x14ac:dyDescent="0.3">
      <c r="A1" s="437" t="s">
        <v>265</v>
      </c>
      <c r="B1" s="438"/>
      <c r="C1" s="438"/>
      <c r="D1" s="438"/>
      <c r="E1" s="438"/>
      <c r="F1" s="438"/>
    </row>
    <row r="2" spans="1:6" ht="31.5" customHeight="1" x14ac:dyDescent="0.3">
      <c r="A2" s="151" t="s">
        <v>54</v>
      </c>
      <c r="B2" s="151" t="s">
        <v>98</v>
      </c>
      <c r="C2" s="151" t="s">
        <v>99</v>
      </c>
      <c r="D2" s="173" t="s">
        <v>322</v>
      </c>
      <c r="E2" s="169" t="s">
        <v>186</v>
      </c>
      <c r="F2" s="169" t="s">
        <v>187</v>
      </c>
    </row>
    <row r="3" spans="1:6" ht="26" x14ac:dyDescent="0.3">
      <c r="A3" s="152">
        <v>1</v>
      </c>
      <c r="B3" s="123" t="s">
        <v>266</v>
      </c>
      <c r="C3" s="152" t="s">
        <v>196</v>
      </c>
      <c r="D3" s="153">
        <v>8</v>
      </c>
      <c r="E3" s="147">
        <v>14.06</v>
      </c>
      <c r="F3" s="147">
        <f>D3*E3</f>
        <v>112.48</v>
      </c>
    </row>
    <row r="4" spans="1:6" x14ac:dyDescent="0.3">
      <c r="A4" s="152">
        <v>2</v>
      </c>
      <c r="B4" s="123" t="s">
        <v>107</v>
      </c>
      <c r="C4" s="154" t="s">
        <v>267</v>
      </c>
      <c r="D4" s="155">
        <v>10</v>
      </c>
      <c r="E4" s="147">
        <v>7.99</v>
      </c>
      <c r="F4" s="147">
        <f t="shared" ref="F4:F27" si="0">D4*E4</f>
        <v>79.900000000000006</v>
      </c>
    </row>
    <row r="5" spans="1:6" ht="26" x14ac:dyDescent="0.3">
      <c r="A5" s="152">
        <v>3</v>
      </c>
      <c r="B5" s="156" t="s">
        <v>268</v>
      </c>
      <c r="C5" s="154" t="s">
        <v>202</v>
      </c>
      <c r="D5" s="155">
        <v>12</v>
      </c>
      <c r="E5" s="147">
        <v>10.62</v>
      </c>
      <c r="F5" s="147">
        <f t="shared" si="0"/>
        <v>127.44</v>
      </c>
    </row>
    <row r="6" spans="1:6" x14ac:dyDescent="0.3">
      <c r="A6" s="152">
        <v>4</v>
      </c>
      <c r="B6" s="156" t="s">
        <v>108</v>
      </c>
      <c r="C6" s="154" t="s">
        <v>202</v>
      </c>
      <c r="D6" s="155">
        <v>144</v>
      </c>
      <c r="E6" s="147">
        <v>8.98</v>
      </c>
      <c r="F6" s="147">
        <f t="shared" si="0"/>
        <v>1293.1200000000001</v>
      </c>
    </row>
    <row r="7" spans="1:6" ht="26" x14ac:dyDescent="0.3">
      <c r="A7" s="152">
        <v>5</v>
      </c>
      <c r="B7" s="123" t="s">
        <v>269</v>
      </c>
      <c r="C7" s="154" t="s">
        <v>196</v>
      </c>
      <c r="D7" s="155">
        <v>4</v>
      </c>
      <c r="E7" s="157">
        <v>25.66</v>
      </c>
      <c r="F7" s="147">
        <f t="shared" si="0"/>
        <v>102.64</v>
      </c>
    </row>
    <row r="8" spans="1:6" ht="39" x14ac:dyDescent="0.3">
      <c r="A8" s="152">
        <v>6</v>
      </c>
      <c r="B8" s="158" t="s">
        <v>270</v>
      </c>
      <c r="C8" s="154" t="s">
        <v>103</v>
      </c>
      <c r="D8" s="155">
        <v>1</v>
      </c>
      <c r="E8" s="147">
        <v>72.13</v>
      </c>
      <c r="F8" s="147">
        <f t="shared" si="0"/>
        <v>72.13</v>
      </c>
    </row>
    <row r="9" spans="1:6" ht="26" x14ac:dyDescent="0.3">
      <c r="A9" s="152">
        <v>7</v>
      </c>
      <c r="B9" s="156" t="s">
        <v>271</v>
      </c>
      <c r="C9" s="170" t="s">
        <v>196</v>
      </c>
      <c r="D9" s="155">
        <v>8</v>
      </c>
      <c r="E9" s="147">
        <v>15.23</v>
      </c>
      <c r="F9" s="147">
        <f t="shared" si="0"/>
        <v>121.84</v>
      </c>
    </row>
    <row r="10" spans="1:6" x14ac:dyDescent="0.3">
      <c r="A10" s="152">
        <v>8</v>
      </c>
      <c r="B10" s="156" t="s">
        <v>272</v>
      </c>
      <c r="C10" s="154" t="s">
        <v>202</v>
      </c>
      <c r="D10" s="155">
        <v>35</v>
      </c>
      <c r="E10" s="147">
        <v>2.12</v>
      </c>
      <c r="F10" s="147">
        <f t="shared" si="0"/>
        <v>74.2</v>
      </c>
    </row>
    <row r="11" spans="1:6" ht="26" x14ac:dyDescent="0.3">
      <c r="A11" s="152">
        <v>9</v>
      </c>
      <c r="B11" s="123" t="s">
        <v>273</v>
      </c>
      <c r="C11" s="154" t="s">
        <v>202</v>
      </c>
      <c r="D11" s="155">
        <v>3</v>
      </c>
      <c r="E11" s="147">
        <v>41.33</v>
      </c>
      <c r="F11" s="147">
        <f t="shared" si="0"/>
        <v>123.99</v>
      </c>
    </row>
    <row r="12" spans="1:6" ht="39" x14ac:dyDescent="0.3">
      <c r="A12" s="152">
        <v>10</v>
      </c>
      <c r="B12" s="158" t="s">
        <v>318</v>
      </c>
      <c r="C12" s="154" t="s">
        <v>202</v>
      </c>
      <c r="D12" s="155">
        <v>40</v>
      </c>
      <c r="E12" s="147">
        <v>0.86</v>
      </c>
      <c r="F12" s="147">
        <f t="shared" si="0"/>
        <v>34.4</v>
      </c>
    </row>
    <row r="13" spans="1:6" ht="52" x14ac:dyDescent="0.3">
      <c r="A13" s="152">
        <v>11</v>
      </c>
      <c r="B13" s="156" t="s">
        <v>274</v>
      </c>
      <c r="C13" s="154" t="s">
        <v>202</v>
      </c>
      <c r="D13" s="155">
        <v>20</v>
      </c>
      <c r="E13" s="147">
        <v>1.1599999999999999</v>
      </c>
      <c r="F13" s="147">
        <f t="shared" si="0"/>
        <v>23.2</v>
      </c>
    </row>
    <row r="14" spans="1:6" x14ac:dyDescent="0.3">
      <c r="A14" s="152">
        <v>12</v>
      </c>
      <c r="B14" s="156" t="s">
        <v>275</v>
      </c>
      <c r="C14" s="154" t="s">
        <v>202</v>
      </c>
      <c r="D14" s="155">
        <v>16</v>
      </c>
      <c r="E14" s="147">
        <v>2.0699999999999998</v>
      </c>
      <c r="F14" s="147">
        <f t="shared" si="0"/>
        <v>33.119999999999997</v>
      </c>
    </row>
    <row r="15" spans="1:6" x14ac:dyDescent="0.3">
      <c r="A15" s="152">
        <v>13</v>
      </c>
      <c r="B15" s="123" t="s">
        <v>276</v>
      </c>
      <c r="C15" s="159" t="s">
        <v>267</v>
      </c>
      <c r="D15" s="160">
        <v>9</v>
      </c>
      <c r="E15" s="147">
        <v>8.0500000000000007</v>
      </c>
      <c r="F15" s="147">
        <f t="shared" si="0"/>
        <v>72.45</v>
      </c>
    </row>
    <row r="16" spans="1:6" x14ac:dyDescent="0.3">
      <c r="A16" s="152">
        <v>14</v>
      </c>
      <c r="B16" s="171" t="s">
        <v>277</v>
      </c>
      <c r="C16" s="159" t="s">
        <v>267</v>
      </c>
      <c r="D16" s="160">
        <v>8</v>
      </c>
      <c r="E16" s="147">
        <v>13.89</v>
      </c>
      <c r="F16" s="147">
        <f t="shared" si="0"/>
        <v>111.12</v>
      </c>
    </row>
    <row r="17" spans="1:6" x14ac:dyDescent="0.3">
      <c r="A17" s="152">
        <v>15</v>
      </c>
      <c r="B17" s="123" t="s">
        <v>278</v>
      </c>
      <c r="C17" s="154" t="s">
        <v>202</v>
      </c>
      <c r="D17" s="155">
        <v>8</v>
      </c>
      <c r="E17" s="147">
        <v>16.5</v>
      </c>
      <c r="F17" s="147">
        <f t="shared" si="0"/>
        <v>132</v>
      </c>
    </row>
    <row r="18" spans="1:6" ht="26" x14ac:dyDescent="0.3">
      <c r="A18" s="152">
        <v>16</v>
      </c>
      <c r="B18" s="156" t="s">
        <v>279</v>
      </c>
      <c r="C18" s="154" t="s">
        <v>280</v>
      </c>
      <c r="D18" s="155">
        <v>8</v>
      </c>
      <c r="E18" s="147">
        <v>12.17</v>
      </c>
      <c r="F18" s="147">
        <f t="shared" si="0"/>
        <v>97.36</v>
      </c>
    </row>
    <row r="19" spans="1:6" ht="26" x14ac:dyDescent="0.3">
      <c r="A19" s="152">
        <v>17</v>
      </c>
      <c r="B19" s="156" t="s">
        <v>281</v>
      </c>
      <c r="C19" s="154" t="s">
        <v>102</v>
      </c>
      <c r="D19" s="155">
        <v>1</v>
      </c>
      <c r="E19" s="147">
        <v>2.6</v>
      </c>
      <c r="F19" s="147">
        <f t="shared" si="0"/>
        <v>2.6</v>
      </c>
    </row>
    <row r="20" spans="1:6" ht="26" x14ac:dyDescent="0.3">
      <c r="A20" s="152">
        <v>18</v>
      </c>
      <c r="B20" s="123" t="s">
        <v>282</v>
      </c>
      <c r="C20" s="154" t="s">
        <v>202</v>
      </c>
      <c r="D20" s="155">
        <v>16</v>
      </c>
      <c r="E20" s="147">
        <v>5.29</v>
      </c>
      <c r="F20" s="147">
        <f t="shared" si="0"/>
        <v>84.64</v>
      </c>
    </row>
    <row r="21" spans="1:6" ht="26" x14ac:dyDescent="0.3">
      <c r="A21" s="152">
        <v>19</v>
      </c>
      <c r="B21" s="123" t="s">
        <v>283</v>
      </c>
      <c r="C21" s="154" t="s">
        <v>103</v>
      </c>
      <c r="D21" s="155">
        <v>35</v>
      </c>
      <c r="E21" s="147">
        <v>9.2799999999999994</v>
      </c>
      <c r="F21" s="147">
        <f t="shared" si="0"/>
        <v>324.79999999999995</v>
      </c>
    </row>
    <row r="22" spans="1:6" x14ac:dyDescent="0.3">
      <c r="A22" s="152">
        <v>20</v>
      </c>
      <c r="B22" s="156" t="s">
        <v>284</v>
      </c>
      <c r="C22" s="154" t="s">
        <v>102</v>
      </c>
      <c r="D22" s="155">
        <v>4</v>
      </c>
      <c r="E22" s="147">
        <v>15.23</v>
      </c>
      <c r="F22" s="147">
        <f t="shared" si="0"/>
        <v>60.92</v>
      </c>
    </row>
    <row r="23" spans="1:6" ht="39" x14ac:dyDescent="0.3">
      <c r="A23" s="152">
        <v>21</v>
      </c>
      <c r="B23" s="156" t="s">
        <v>109</v>
      </c>
      <c r="C23" s="154" t="s">
        <v>102</v>
      </c>
      <c r="D23" s="155">
        <v>10</v>
      </c>
      <c r="E23" s="147">
        <v>13.1</v>
      </c>
      <c r="F23" s="147">
        <f t="shared" si="0"/>
        <v>131</v>
      </c>
    </row>
    <row r="24" spans="1:6" ht="52" x14ac:dyDescent="0.3">
      <c r="A24" s="152">
        <v>22</v>
      </c>
      <c r="B24" s="123" t="s">
        <v>285</v>
      </c>
      <c r="C24" s="152" t="s">
        <v>102</v>
      </c>
      <c r="D24" s="155">
        <v>3</v>
      </c>
      <c r="E24" s="147">
        <v>20.7</v>
      </c>
      <c r="F24" s="147">
        <f t="shared" si="0"/>
        <v>62.099999999999994</v>
      </c>
    </row>
    <row r="25" spans="1:6" ht="52" x14ac:dyDescent="0.3">
      <c r="A25" s="152">
        <v>23</v>
      </c>
      <c r="B25" s="123" t="s">
        <v>286</v>
      </c>
      <c r="C25" s="152" t="s">
        <v>102</v>
      </c>
      <c r="D25" s="153">
        <v>3</v>
      </c>
      <c r="E25" s="147">
        <v>22.79</v>
      </c>
      <c r="F25" s="147">
        <f t="shared" si="0"/>
        <v>68.37</v>
      </c>
    </row>
    <row r="26" spans="1:6" ht="52" x14ac:dyDescent="0.3">
      <c r="A26" s="152">
        <v>24</v>
      </c>
      <c r="B26" s="156" t="s">
        <v>287</v>
      </c>
      <c r="C26" s="154" t="s">
        <v>202</v>
      </c>
      <c r="D26" s="155">
        <v>6</v>
      </c>
      <c r="E26" s="147">
        <v>40.79</v>
      </c>
      <c r="F26" s="147">
        <f t="shared" si="0"/>
        <v>244.74</v>
      </c>
    </row>
    <row r="27" spans="1:6" x14ac:dyDescent="0.3">
      <c r="A27" s="152">
        <v>25</v>
      </c>
      <c r="B27" s="156" t="s">
        <v>288</v>
      </c>
      <c r="C27" s="154" t="s">
        <v>202</v>
      </c>
      <c r="D27" s="155">
        <v>34</v>
      </c>
      <c r="E27" s="147">
        <v>4.8</v>
      </c>
      <c r="F27" s="147">
        <f t="shared" si="0"/>
        <v>163.19999999999999</v>
      </c>
    </row>
    <row r="28" spans="1:6" x14ac:dyDescent="0.3">
      <c r="A28" s="410"/>
      <c r="B28" s="410"/>
      <c r="C28" s="410"/>
      <c r="D28" s="410"/>
      <c r="E28" s="410"/>
      <c r="F28" s="172">
        <f>SUM(F3:F27)</f>
        <v>3753.7599999999993</v>
      </c>
    </row>
    <row r="29" spans="1:6" x14ac:dyDescent="0.3">
      <c r="A29" s="434" t="s">
        <v>314</v>
      </c>
      <c r="B29" s="434"/>
      <c r="C29" s="434"/>
      <c r="D29" s="434"/>
      <c r="E29" s="434"/>
      <c r="F29" s="161">
        <f>F28/8</f>
        <v>469.21999999999991</v>
      </c>
    </row>
    <row r="33" spans="1:6" ht="17.25" customHeight="1" x14ac:dyDescent="0.3">
      <c r="A33" s="435" t="s">
        <v>312</v>
      </c>
      <c r="B33" s="435"/>
      <c r="C33" s="435"/>
      <c r="D33" s="435"/>
      <c r="E33" s="435"/>
      <c r="F33" s="435"/>
    </row>
    <row r="34" spans="1:6" ht="26" x14ac:dyDescent="0.3">
      <c r="A34" s="162" t="s">
        <v>54</v>
      </c>
      <c r="B34" s="162" t="s">
        <v>98</v>
      </c>
      <c r="C34" s="162" t="s">
        <v>99</v>
      </c>
      <c r="D34" s="173" t="s">
        <v>322</v>
      </c>
      <c r="E34" s="174" t="s">
        <v>226</v>
      </c>
      <c r="F34" s="174" t="s">
        <v>227</v>
      </c>
    </row>
    <row r="35" spans="1:6" ht="26" x14ac:dyDescent="0.3">
      <c r="A35" s="153">
        <v>1</v>
      </c>
      <c r="B35" s="166" t="s">
        <v>266</v>
      </c>
      <c r="C35" s="153" t="s">
        <v>196</v>
      </c>
      <c r="D35" s="80">
        <v>1</v>
      </c>
      <c r="E35" s="163">
        <v>14.06</v>
      </c>
      <c r="F35" s="163">
        <f>D35*E35</f>
        <v>14.06</v>
      </c>
    </row>
    <row r="36" spans="1:6" x14ac:dyDescent="0.3">
      <c r="A36" s="153">
        <v>2</v>
      </c>
      <c r="B36" s="166" t="s">
        <v>107</v>
      </c>
      <c r="C36" s="155" t="s">
        <v>267</v>
      </c>
      <c r="D36" s="168">
        <v>3</v>
      </c>
      <c r="E36" s="163">
        <v>7.99</v>
      </c>
      <c r="F36" s="163">
        <f t="shared" ref="F36:F53" si="1">D36*E36</f>
        <v>23.97</v>
      </c>
    </row>
    <row r="37" spans="1:6" ht="26" x14ac:dyDescent="0.3">
      <c r="A37" s="153">
        <v>3</v>
      </c>
      <c r="B37" s="158" t="s">
        <v>268</v>
      </c>
      <c r="C37" s="155" t="s">
        <v>202</v>
      </c>
      <c r="D37" s="168">
        <v>2</v>
      </c>
      <c r="E37" s="163">
        <v>10.62</v>
      </c>
      <c r="F37" s="163">
        <f t="shared" si="1"/>
        <v>21.24</v>
      </c>
    </row>
    <row r="38" spans="1:6" x14ac:dyDescent="0.3">
      <c r="A38" s="153">
        <v>4</v>
      </c>
      <c r="B38" s="158" t="s">
        <v>108</v>
      </c>
      <c r="C38" s="155" t="s">
        <v>202</v>
      </c>
      <c r="D38" s="168">
        <v>10</v>
      </c>
      <c r="E38" s="163">
        <v>8.98</v>
      </c>
      <c r="F38" s="163">
        <f t="shared" si="1"/>
        <v>89.800000000000011</v>
      </c>
    </row>
    <row r="39" spans="1:6" ht="26" x14ac:dyDescent="0.3">
      <c r="A39" s="153">
        <v>5</v>
      </c>
      <c r="B39" s="158" t="s">
        <v>269</v>
      </c>
      <c r="C39" s="155" t="s">
        <v>196</v>
      </c>
      <c r="D39" s="168">
        <v>1</v>
      </c>
      <c r="E39" s="163">
        <v>25.66</v>
      </c>
      <c r="F39" s="163">
        <f t="shared" si="1"/>
        <v>25.66</v>
      </c>
    </row>
    <row r="40" spans="1:6" ht="26" x14ac:dyDescent="0.3">
      <c r="A40" s="153">
        <v>6</v>
      </c>
      <c r="B40" s="158" t="s">
        <v>271</v>
      </c>
      <c r="C40" s="167" t="s">
        <v>196</v>
      </c>
      <c r="D40" s="168">
        <v>2</v>
      </c>
      <c r="E40" s="163">
        <v>15.23</v>
      </c>
      <c r="F40" s="163">
        <f t="shared" si="1"/>
        <v>30.46</v>
      </c>
    </row>
    <row r="41" spans="1:6" x14ac:dyDescent="0.3">
      <c r="A41" s="153">
        <v>7</v>
      </c>
      <c r="B41" s="158" t="s">
        <v>272</v>
      </c>
      <c r="C41" s="155" t="s">
        <v>202</v>
      </c>
      <c r="D41" s="168">
        <v>8</v>
      </c>
      <c r="E41" s="163">
        <v>2.12</v>
      </c>
      <c r="F41" s="163">
        <f t="shared" si="1"/>
        <v>16.96</v>
      </c>
    </row>
    <row r="42" spans="1:6" ht="39" x14ac:dyDescent="0.3">
      <c r="A42" s="153">
        <v>8</v>
      </c>
      <c r="B42" s="158" t="s">
        <v>319</v>
      </c>
      <c r="C42" s="155" t="s">
        <v>202</v>
      </c>
      <c r="D42" s="168">
        <v>8</v>
      </c>
      <c r="E42" s="163">
        <v>0.86</v>
      </c>
      <c r="F42" s="163">
        <f t="shared" si="1"/>
        <v>6.88</v>
      </c>
    </row>
    <row r="43" spans="1:6" ht="52" x14ac:dyDescent="0.3">
      <c r="A43" s="153">
        <v>9</v>
      </c>
      <c r="B43" s="158" t="s">
        <v>274</v>
      </c>
      <c r="C43" s="155" t="s">
        <v>202</v>
      </c>
      <c r="D43" s="168">
        <v>2</v>
      </c>
      <c r="E43" s="163">
        <v>1.1599999999999999</v>
      </c>
      <c r="F43" s="163">
        <f t="shared" si="1"/>
        <v>2.3199999999999998</v>
      </c>
    </row>
    <row r="44" spans="1:6" x14ac:dyDescent="0.3">
      <c r="A44" s="153">
        <v>10</v>
      </c>
      <c r="B44" s="158" t="s">
        <v>275</v>
      </c>
      <c r="C44" s="155" t="s">
        <v>202</v>
      </c>
      <c r="D44" s="168">
        <v>4</v>
      </c>
      <c r="E44" s="163">
        <v>2.0699999999999998</v>
      </c>
      <c r="F44" s="163">
        <f t="shared" si="1"/>
        <v>8.2799999999999994</v>
      </c>
    </row>
    <row r="45" spans="1:6" x14ac:dyDescent="0.3">
      <c r="A45" s="153">
        <v>11</v>
      </c>
      <c r="B45" s="166" t="s">
        <v>276</v>
      </c>
      <c r="C45" s="155" t="s">
        <v>267</v>
      </c>
      <c r="D45" s="168">
        <v>2</v>
      </c>
      <c r="E45" s="163">
        <v>8.0500000000000007</v>
      </c>
      <c r="F45" s="163">
        <f t="shared" si="1"/>
        <v>16.100000000000001</v>
      </c>
    </row>
    <row r="46" spans="1:6" x14ac:dyDescent="0.3">
      <c r="A46" s="153">
        <v>12</v>
      </c>
      <c r="B46" s="158" t="s">
        <v>277</v>
      </c>
      <c r="C46" s="155" t="s">
        <v>267</v>
      </c>
      <c r="D46" s="168">
        <v>1</v>
      </c>
      <c r="E46" s="163">
        <v>13.89</v>
      </c>
      <c r="F46" s="163">
        <f t="shared" si="1"/>
        <v>13.89</v>
      </c>
    </row>
    <row r="47" spans="1:6" x14ac:dyDescent="0.3">
      <c r="A47" s="153">
        <v>13</v>
      </c>
      <c r="B47" s="166" t="s">
        <v>278</v>
      </c>
      <c r="C47" s="155" t="s">
        <v>202</v>
      </c>
      <c r="D47" s="168">
        <v>1</v>
      </c>
      <c r="E47" s="163">
        <v>16.5</v>
      </c>
      <c r="F47" s="163">
        <f t="shared" si="1"/>
        <v>16.5</v>
      </c>
    </row>
    <row r="48" spans="1:6" ht="26" x14ac:dyDescent="0.3">
      <c r="A48" s="153">
        <v>14</v>
      </c>
      <c r="B48" s="158" t="s">
        <v>279</v>
      </c>
      <c r="C48" s="155" t="s">
        <v>280</v>
      </c>
      <c r="D48" s="168">
        <v>2</v>
      </c>
      <c r="E48" s="163">
        <v>12.17</v>
      </c>
      <c r="F48" s="163">
        <f t="shared" si="1"/>
        <v>24.34</v>
      </c>
    </row>
    <row r="49" spans="1:6" ht="26" x14ac:dyDescent="0.3">
      <c r="A49" s="153">
        <v>15</v>
      </c>
      <c r="B49" s="166" t="s">
        <v>282</v>
      </c>
      <c r="C49" s="155" t="s">
        <v>202</v>
      </c>
      <c r="D49" s="168">
        <v>2</v>
      </c>
      <c r="E49" s="163">
        <v>5.29</v>
      </c>
      <c r="F49" s="163">
        <f t="shared" si="1"/>
        <v>10.58</v>
      </c>
    </row>
    <row r="50" spans="1:6" x14ac:dyDescent="0.3">
      <c r="A50" s="153">
        <v>16</v>
      </c>
      <c r="B50" s="158" t="s">
        <v>284</v>
      </c>
      <c r="C50" s="155" t="s">
        <v>102</v>
      </c>
      <c r="D50" s="168">
        <v>1</v>
      </c>
      <c r="E50" s="163">
        <v>15.23</v>
      </c>
      <c r="F50" s="163">
        <f t="shared" si="1"/>
        <v>15.23</v>
      </c>
    </row>
    <row r="51" spans="1:6" ht="39" x14ac:dyDescent="0.3">
      <c r="A51" s="153">
        <v>17</v>
      </c>
      <c r="B51" s="158" t="s">
        <v>109</v>
      </c>
      <c r="C51" s="155" t="s">
        <v>102</v>
      </c>
      <c r="D51" s="168">
        <v>2</v>
      </c>
      <c r="E51" s="163">
        <v>13.1</v>
      </c>
      <c r="F51" s="163">
        <f t="shared" si="1"/>
        <v>26.2</v>
      </c>
    </row>
    <row r="52" spans="1:6" ht="52" x14ac:dyDescent="0.3">
      <c r="A52" s="153">
        <v>18</v>
      </c>
      <c r="B52" s="166" t="s">
        <v>286</v>
      </c>
      <c r="C52" s="153" t="s">
        <v>102</v>
      </c>
      <c r="D52" s="80">
        <v>1</v>
      </c>
      <c r="E52" s="163">
        <v>22.79</v>
      </c>
      <c r="F52" s="163">
        <f t="shared" si="1"/>
        <v>22.79</v>
      </c>
    </row>
    <row r="53" spans="1:6" ht="39" x14ac:dyDescent="0.3">
      <c r="A53" s="153">
        <v>19</v>
      </c>
      <c r="B53" s="158" t="s">
        <v>289</v>
      </c>
      <c r="C53" s="155" t="s">
        <v>202</v>
      </c>
      <c r="D53" s="168">
        <v>1</v>
      </c>
      <c r="E53" s="163">
        <v>40.79</v>
      </c>
      <c r="F53" s="163">
        <f t="shared" si="1"/>
        <v>40.79</v>
      </c>
    </row>
    <row r="54" spans="1:6" x14ac:dyDescent="0.3">
      <c r="A54" s="410"/>
      <c r="B54" s="410"/>
      <c r="C54" s="410"/>
      <c r="D54" s="410"/>
      <c r="E54" s="410"/>
      <c r="F54" s="164">
        <f>SUM(F35:F53)</f>
        <v>426.05</v>
      </c>
    </row>
    <row r="55" spans="1:6" x14ac:dyDescent="0.3">
      <c r="A55" s="434" t="s">
        <v>315</v>
      </c>
      <c r="B55" s="434"/>
      <c r="C55" s="434"/>
      <c r="D55" s="434"/>
      <c r="E55" s="434"/>
      <c r="F55" s="161">
        <f>F54/1</f>
        <v>426.05</v>
      </c>
    </row>
    <row r="60" spans="1:6" ht="13" customHeight="1" x14ac:dyDescent="0.3">
      <c r="A60" s="435" t="s">
        <v>313</v>
      </c>
      <c r="B60" s="435"/>
      <c r="C60" s="435"/>
      <c r="D60" s="435"/>
      <c r="E60" s="435"/>
      <c r="F60" s="435"/>
    </row>
    <row r="61" spans="1:6" ht="26" x14ac:dyDescent="0.3">
      <c r="A61" s="162" t="s">
        <v>54</v>
      </c>
      <c r="B61" s="162" t="s">
        <v>98</v>
      </c>
      <c r="C61" s="162" t="s">
        <v>99</v>
      </c>
      <c r="D61" s="173" t="s">
        <v>322</v>
      </c>
      <c r="E61" s="174" t="s">
        <v>226</v>
      </c>
      <c r="F61" s="174" t="s">
        <v>227</v>
      </c>
    </row>
    <row r="62" spans="1:6" ht="26" x14ac:dyDescent="0.3">
      <c r="A62" s="153">
        <v>1</v>
      </c>
      <c r="B62" s="166" t="s">
        <v>266</v>
      </c>
      <c r="C62" s="153" t="s">
        <v>196</v>
      </c>
      <c r="D62" s="80">
        <v>1</v>
      </c>
      <c r="E62" s="163">
        <v>14.06</v>
      </c>
      <c r="F62" s="163">
        <f>D62*E62</f>
        <v>14.06</v>
      </c>
    </row>
    <row r="63" spans="1:6" x14ac:dyDescent="0.3">
      <c r="A63" s="153">
        <v>2</v>
      </c>
      <c r="B63" s="166" t="s">
        <v>107</v>
      </c>
      <c r="C63" s="155" t="s">
        <v>267</v>
      </c>
      <c r="D63" s="168">
        <v>5</v>
      </c>
      <c r="E63" s="163">
        <v>7.99</v>
      </c>
      <c r="F63" s="163">
        <f t="shared" ref="F63:F81" si="2">D63*E63</f>
        <v>39.950000000000003</v>
      </c>
    </row>
    <row r="64" spans="1:6" ht="26" x14ac:dyDescent="0.3">
      <c r="A64" s="153">
        <v>3</v>
      </c>
      <c r="B64" s="158" t="s">
        <v>268</v>
      </c>
      <c r="C64" s="155" t="s">
        <v>202</v>
      </c>
      <c r="D64" s="168">
        <v>3</v>
      </c>
      <c r="E64" s="163">
        <v>10.62</v>
      </c>
      <c r="F64" s="163">
        <f t="shared" si="2"/>
        <v>31.86</v>
      </c>
    </row>
    <row r="65" spans="1:6" x14ac:dyDescent="0.3">
      <c r="A65" s="153">
        <v>4</v>
      </c>
      <c r="B65" s="158" t="s">
        <v>108</v>
      </c>
      <c r="C65" s="155" t="s">
        <v>202</v>
      </c>
      <c r="D65" s="168">
        <v>8</v>
      </c>
      <c r="E65" s="163">
        <v>8.98</v>
      </c>
      <c r="F65" s="163">
        <f t="shared" si="2"/>
        <v>71.84</v>
      </c>
    </row>
    <row r="66" spans="1:6" ht="26" x14ac:dyDescent="0.3">
      <c r="A66" s="153">
        <v>5</v>
      </c>
      <c r="B66" s="158" t="s">
        <v>269</v>
      </c>
      <c r="C66" s="155" t="s">
        <v>196</v>
      </c>
      <c r="D66" s="168">
        <v>1</v>
      </c>
      <c r="E66" s="163">
        <v>25.66</v>
      </c>
      <c r="F66" s="163">
        <f t="shared" si="2"/>
        <v>25.66</v>
      </c>
    </row>
    <row r="67" spans="1:6" ht="26" x14ac:dyDescent="0.3">
      <c r="A67" s="153">
        <v>6</v>
      </c>
      <c r="B67" s="158" t="s">
        <v>271</v>
      </c>
      <c r="C67" s="167" t="s">
        <v>196</v>
      </c>
      <c r="D67" s="168">
        <v>2</v>
      </c>
      <c r="E67" s="163">
        <v>15.23</v>
      </c>
      <c r="F67" s="163">
        <f t="shared" si="2"/>
        <v>30.46</v>
      </c>
    </row>
    <row r="68" spans="1:6" x14ac:dyDescent="0.3">
      <c r="A68" s="153">
        <v>7</v>
      </c>
      <c r="B68" s="158" t="s">
        <v>272</v>
      </c>
      <c r="C68" s="155" t="s">
        <v>202</v>
      </c>
      <c r="D68" s="168">
        <v>5</v>
      </c>
      <c r="E68" s="163">
        <v>2.12</v>
      </c>
      <c r="F68" s="163">
        <f t="shared" si="2"/>
        <v>10.600000000000001</v>
      </c>
    </row>
    <row r="69" spans="1:6" ht="39" x14ac:dyDescent="0.3">
      <c r="A69" s="153">
        <v>8</v>
      </c>
      <c r="B69" s="158" t="s">
        <v>319</v>
      </c>
      <c r="C69" s="155" t="s">
        <v>202</v>
      </c>
      <c r="D69" s="168">
        <v>0</v>
      </c>
      <c r="E69" s="163">
        <v>0.86</v>
      </c>
      <c r="F69" s="163">
        <f t="shared" si="2"/>
        <v>0</v>
      </c>
    </row>
    <row r="70" spans="1:6" ht="52" x14ac:dyDescent="0.3">
      <c r="A70" s="153">
        <v>9</v>
      </c>
      <c r="B70" s="158" t="s">
        <v>274</v>
      </c>
      <c r="C70" s="155" t="s">
        <v>202</v>
      </c>
      <c r="D70" s="168">
        <v>4</v>
      </c>
      <c r="E70" s="163">
        <v>1.1599999999999999</v>
      </c>
      <c r="F70" s="163">
        <f t="shared" si="2"/>
        <v>4.6399999999999997</v>
      </c>
    </row>
    <row r="71" spans="1:6" x14ac:dyDescent="0.3">
      <c r="A71" s="153">
        <v>10</v>
      </c>
      <c r="B71" s="158" t="s">
        <v>275</v>
      </c>
      <c r="C71" s="155" t="s">
        <v>202</v>
      </c>
      <c r="D71" s="168">
        <v>3</v>
      </c>
      <c r="E71" s="163">
        <v>2.0699999999999998</v>
      </c>
      <c r="F71" s="163">
        <f t="shared" si="2"/>
        <v>6.2099999999999991</v>
      </c>
    </row>
    <row r="72" spans="1:6" x14ac:dyDescent="0.3">
      <c r="A72" s="153">
        <v>11</v>
      </c>
      <c r="B72" s="166" t="s">
        <v>276</v>
      </c>
      <c r="C72" s="155" t="s">
        <v>267</v>
      </c>
      <c r="D72" s="168">
        <v>2</v>
      </c>
      <c r="E72" s="163">
        <v>8.0500000000000007</v>
      </c>
      <c r="F72" s="163">
        <f t="shared" si="2"/>
        <v>16.100000000000001</v>
      </c>
    </row>
    <row r="73" spans="1:6" x14ac:dyDescent="0.3">
      <c r="A73" s="153">
        <v>12</v>
      </c>
      <c r="B73" s="158" t="s">
        <v>277</v>
      </c>
      <c r="C73" s="155" t="s">
        <v>267</v>
      </c>
      <c r="D73" s="168">
        <v>0</v>
      </c>
      <c r="E73" s="163">
        <v>13.89</v>
      </c>
      <c r="F73" s="163">
        <f t="shared" si="2"/>
        <v>0</v>
      </c>
    </row>
    <row r="74" spans="1:6" x14ac:dyDescent="0.3">
      <c r="A74" s="153">
        <v>13</v>
      </c>
      <c r="B74" s="166" t="s">
        <v>278</v>
      </c>
      <c r="C74" s="155" t="s">
        <v>202</v>
      </c>
      <c r="D74" s="168">
        <v>1</v>
      </c>
      <c r="E74" s="163">
        <v>16.5</v>
      </c>
      <c r="F74" s="163">
        <f t="shared" si="2"/>
        <v>16.5</v>
      </c>
    </row>
    <row r="75" spans="1:6" ht="26" x14ac:dyDescent="0.3">
      <c r="A75" s="153">
        <v>14</v>
      </c>
      <c r="B75" s="158" t="s">
        <v>279</v>
      </c>
      <c r="C75" s="155" t="s">
        <v>280</v>
      </c>
      <c r="D75" s="168">
        <v>2</v>
      </c>
      <c r="E75" s="163">
        <v>12.17</v>
      </c>
      <c r="F75" s="163">
        <f t="shared" si="2"/>
        <v>24.34</v>
      </c>
    </row>
    <row r="76" spans="1:6" ht="26" x14ac:dyDescent="0.3">
      <c r="A76" s="153">
        <v>15</v>
      </c>
      <c r="B76" s="166" t="s">
        <v>282</v>
      </c>
      <c r="C76" s="155" t="s">
        <v>202</v>
      </c>
      <c r="D76" s="168">
        <v>2</v>
      </c>
      <c r="E76" s="163">
        <v>5.29</v>
      </c>
      <c r="F76" s="163">
        <f t="shared" si="2"/>
        <v>10.58</v>
      </c>
    </row>
    <row r="77" spans="1:6" x14ac:dyDescent="0.3">
      <c r="A77" s="153">
        <v>16</v>
      </c>
      <c r="B77" s="158" t="s">
        <v>284</v>
      </c>
      <c r="C77" s="155" t="s">
        <v>102</v>
      </c>
      <c r="D77" s="168">
        <v>1</v>
      </c>
      <c r="E77" s="163">
        <v>15.23</v>
      </c>
      <c r="F77" s="163">
        <f t="shared" si="2"/>
        <v>15.23</v>
      </c>
    </row>
    <row r="78" spans="1:6" ht="39" x14ac:dyDescent="0.3">
      <c r="A78" s="153">
        <v>17</v>
      </c>
      <c r="B78" s="158" t="s">
        <v>109</v>
      </c>
      <c r="C78" s="155" t="s">
        <v>102</v>
      </c>
      <c r="D78" s="168">
        <v>2</v>
      </c>
      <c r="E78" s="163">
        <v>13.1</v>
      </c>
      <c r="F78" s="163">
        <f t="shared" si="2"/>
        <v>26.2</v>
      </c>
    </row>
    <row r="79" spans="1:6" ht="52" x14ac:dyDescent="0.3">
      <c r="A79" s="153">
        <v>18</v>
      </c>
      <c r="B79" s="166" t="s">
        <v>285</v>
      </c>
      <c r="C79" s="153" t="s">
        <v>102</v>
      </c>
      <c r="D79" s="168">
        <v>1</v>
      </c>
      <c r="E79" s="163">
        <v>20.7</v>
      </c>
      <c r="F79" s="163">
        <f t="shared" si="2"/>
        <v>20.7</v>
      </c>
    </row>
    <row r="80" spans="1:6" ht="52" x14ac:dyDescent="0.3">
      <c r="A80" s="153">
        <v>19</v>
      </c>
      <c r="B80" s="166" t="s">
        <v>286</v>
      </c>
      <c r="C80" s="153" t="s">
        <v>102</v>
      </c>
      <c r="D80" s="80">
        <v>2</v>
      </c>
      <c r="E80" s="163">
        <v>22.79</v>
      </c>
      <c r="F80" s="163">
        <f t="shared" si="2"/>
        <v>45.58</v>
      </c>
    </row>
    <row r="81" spans="1:6" ht="39" x14ac:dyDescent="0.3">
      <c r="A81" s="153">
        <v>20</v>
      </c>
      <c r="B81" s="158" t="s">
        <v>289</v>
      </c>
      <c r="C81" s="155" t="s">
        <v>202</v>
      </c>
      <c r="D81" s="168">
        <v>2</v>
      </c>
      <c r="E81" s="163">
        <v>40.79</v>
      </c>
      <c r="F81" s="163">
        <f t="shared" si="2"/>
        <v>81.58</v>
      </c>
    </row>
    <row r="82" spans="1:6" x14ac:dyDescent="0.3">
      <c r="A82" s="410"/>
      <c r="B82" s="410"/>
      <c r="C82" s="410"/>
      <c r="D82" s="410"/>
      <c r="E82" s="410"/>
      <c r="F82" s="164">
        <f>SUM(F62:F81)</f>
        <v>492.08999999999992</v>
      </c>
    </row>
    <row r="83" spans="1:6" x14ac:dyDescent="0.3">
      <c r="A83" s="434" t="s">
        <v>315</v>
      </c>
      <c r="B83" s="434"/>
      <c r="C83" s="434"/>
      <c r="D83" s="434"/>
      <c r="E83" s="434"/>
      <c r="F83" s="161">
        <f>F82/1</f>
        <v>492.08999999999992</v>
      </c>
    </row>
    <row r="87" spans="1:6" x14ac:dyDescent="0.3">
      <c r="A87" s="435" t="s">
        <v>291</v>
      </c>
      <c r="B87" s="435"/>
      <c r="C87" s="435"/>
      <c r="D87" s="435"/>
      <c r="E87" s="435"/>
      <c r="F87" s="435"/>
    </row>
    <row r="88" spans="1:6" ht="26" x14ac:dyDescent="0.3">
      <c r="A88" s="162" t="s">
        <v>54</v>
      </c>
      <c r="B88" s="162" t="s">
        <v>98</v>
      </c>
      <c r="C88" s="162" t="s">
        <v>99</v>
      </c>
      <c r="D88" s="165" t="s">
        <v>323</v>
      </c>
      <c r="E88" s="162" t="s">
        <v>226</v>
      </c>
      <c r="F88" s="162" t="s">
        <v>227</v>
      </c>
    </row>
    <row r="89" spans="1:6" ht="26" x14ac:dyDescent="0.3">
      <c r="A89" s="155">
        <v>1</v>
      </c>
      <c r="B89" s="158" t="s">
        <v>266</v>
      </c>
      <c r="C89" s="155" t="s">
        <v>196</v>
      </c>
      <c r="D89" s="155">
        <v>2</v>
      </c>
      <c r="E89" s="163">
        <v>14.06</v>
      </c>
      <c r="F89" s="163">
        <f>D89*E89</f>
        <v>28.12</v>
      </c>
    </row>
    <row r="90" spans="1:6" x14ac:dyDescent="0.3">
      <c r="A90" s="155">
        <v>2</v>
      </c>
      <c r="B90" s="166" t="s">
        <v>107</v>
      </c>
      <c r="C90" s="155" t="s">
        <v>267</v>
      </c>
      <c r="D90" s="155">
        <v>12</v>
      </c>
      <c r="E90" s="163">
        <v>7.99</v>
      </c>
      <c r="F90" s="163">
        <f t="shared" ref="F90:F110" si="3">D90*E90</f>
        <v>95.88</v>
      </c>
    </row>
    <row r="91" spans="1:6" ht="26" x14ac:dyDescent="0.3">
      <c r="A91" s="155">
        <v>3</v>
      </c>
      <c r="B91" s="158" t="s">
        <v>268</v>
      </c>
      <c r="C91" s="155" t="s">
        <v>202</v>
      </c>
      <c r="D91" s="155">
        <v>12</v>
      </c>
      <c r="E91" s="163">
        <v>10.62</v>
      </c>
      <c r="F91" s="163">
        <f t="shared" si="3"/>
        <v>127.44</v>
      </c>
    </row>
    <row r="92" spans="1:6" x14ac:dyDescent="0.3">
      <c r="A92" s="155">
        <v>4</v>
      </c>
      <c r="B92" s="158" t="s">
        <v>108</v>
      </c>
      <c r="C92" s="155" t="s">
        <v>202</v>
      </c>
      <c r="D92" s="155">
        <v>70</v>
      </c>
      <c r="E92" s="163">
        <v>8.98</v>
      </c>
      <c r="F92" s="163">
        <f t="shared" si="3"/>
        <v>628.6</v>
      </c>
    </row>
    <row r="93" spans="1:6" ht="26" x14ac:dyDescent="0.3">
      <c r="A93" s="155">
        <v>5</v>
      </c>
      <c r="B93" s="166" t="s">
        <v>269</v>
      </c>
      <c r="C93" s="155" t="s">
        <v>196</v>
      </c>
      <c r="D93" s="155">
        <v>2</v>
      </c>
      <c r="E93" s="163">
        <v>25.66</v>
      </c>
      <c r="F93" s="163">
        <f t="shared" si="3"/>
        <v>51.32</v>
      </c>
    </row>
    <row r="94" spans="1:6" ht="39" x14ac:dyDescent="0.3">
      <c r="A94" s="155">
        <v>6</v>
      </c>
      <c r="B94" s="158" t="s">
        <v>270</v>
      </c>
      <c r="C94" s="155" t="s">
        <v>103</v>
      </c>
      <c r="D94" s="155">
        <v>1</v>
      </c>
      <c r="E94" s="163">
        <v>72.13</v>
      </c>
      <c r="F94" s="163">
        <f t="shared" si="3"/>
        <v>72.13</v>
      </c>
    </row>
    <row r="95" spans="1:6" ht="26" x14ac:dyDescent="0.3">
      <c r="A95" s="155">
        <v>7</v>
      </c>
      <c r="B95" s="158" t="s">
        <v>271</v>
      </c>
      <c r="C95" s="167" t="s">
        <v>196</v>
      </c>
      <c r="D95" s="155">
        <v>5</v>
      </c>
      <c r="E95" s="163">
        <v>15.23</v>
      </c>
      <c r="F95" s="163">
        <f t="shared" si="3"/>
        <v>76.150000000000006</v>
      </c>
    </row>
    <row r="96" spans="1:6" x14ac:dyDescent="0.3">
      <c r="A96" s="155">
        <v>8</v>
      </c>
      <c r="B96" s="158" t="s">
        <v>272</v>
      </c>
      <c r="C96" s="155" t="s">
        <v>202</v>
      </c>
      <c r="D96" s="155">
        <v>20</v>
      </c>
      <c r="E96" s="163">
        <v>2.12</v>
      </c>
      <c r="F96" s="163">
        <f t="shared" si="3"/>
        <v>42.400000000000006</v>
      </c>
    </row>
    <row r="97" spans="1:6" ht="26" x14ac:dyDescent="0.3">
      <c r="A97" s="155">
        <v>9</v>
      </c>
      <c r="B97" s="158" t="s">
        <v>321</v>
      </c>
      <c r="C97" s="155" t="s">
        <v>102</v>
      </c>
      <c r="D97" s="155">
        <v>2</v>
      </c>
      <c r="E97" s="163">
        <v>0.86</v>
      </c>
      <c r="F97" s="163">
        <f t="shared" si="3"/>
        <v>1.72</v>
      </c>
    </row>
    <row r="98" spans="1:6" ht="52" x14ac:dyDescent="0.3">
      <c r="A98" s="155">
        <v>10</v>
      </c>
      <c r="B98" s="158" t="s">
        <v>274</v>
      </c>
      <c r="C98" s="155" t="s">
        <v>202</v>
      </c>
      <c r="D98" s="155">
        <v>15</v>
      </c>
      <c r="E98" s="163">
        <v>1.1599999999999999</v>
      </c>
      <c r="F98" s="163">
        <f t="shared" si="3"/>
        <v>17.399999999999999</v>
      </c>
    </row>
    <row r="99" spans="1:6" x14ac:dyDescent="0.3">
      <c r="A99" s="155">
        <v>11</v>
      </c>
      <c r="B99" s="158" t="s">
        <v>275</v>
      </c>
      <c r="C99" s="155" t="s">
        <v>202</v>
      </c>
      <c r="D99" s="155">
        <v>10</v>
      </c>
      <c r="E99" s="163">
        <v>2.0699999999999998</v>
      </c>
      <c r="F99" s="163">
        <f t="shared" si="3"/>
        <v>20.7</v>
      </c>
    </row>
    <row r="100" spans="1:6" x14ac:dyDescent="0.3">
      <c r="A100" s="155">
        <v>12</v>
      </c>
      <c r="B100" s="166" t="s">
        <v>276</v>
      </c>
      <c r="C100" s="153" t="s">
        <v>267</v>
      </c>
      <c r="D100" s="153">
        <v>4</v>
      </c>
      <c r="E100" s="163">
        <v>8.0500000000000007</v>
      </c>
      <c r="F100" s="163">
        <f t="shared" si="3"/>
        <v>32.200000000000003</v>
      </c>
    </row>
    <row r="101" spans="1:6" x14ac:dyDescent="0.3">
      <c r="A101" s="155">
        <v>13</v>
      </c>
      <c r="B101" s="166" t="s">
        <v>277</v>
      </c>
      <c r="C101" s="155" t="s">
        <v>267</v>
      </c>
      <c r="D101" s="155">
        <v>10</v>
      </c>
      <c r="E101" s="163">
        <v>13.89</v>
      </c>
      <c r="F101" s="163">
        <f t="shared" si="3"/>
        <v>138.9</v>
      </c>
    </row>
    <row r="102" spans="1:6" x14ac:dyDescent="0.3">
      <c r="A102" s="155">
        <v>14</v>
      </c>
      <c r="B102" s="166" t="s">
        <v>278</v>
      </c>
      <c r="C102" s="155" t="s">
        <v>267</v>
      </c>
      <c r="D102" s="155">
        <v>0</v>
      </c>
      <c r="E102" s="163">
        <v>16.5</v>
      </c>
      <c r="F102" s="163">
        <f t="shared" si="3"/>
        <v>0</v>
      </c>
    </row>
    <row r="103" spans="1:6" ht="26" x14ac:dyDescent="0.3">
      <c r="A103" s="155">
        <v>15</v>
      </c>
      <c r="B103" s="158" t="s">
        <v>279</v>
      </c>
      <c r="C103" s="155" t="s">
        <v>280</v>
      </c>
      <c r="D103" s="155">
        <v>6</v>
      </c>
      <c r="E103" s="163">
        <v>12.17</v>
      </c>
      <c r="F103" s="163">
        <f t="shared" si="3"/>
        <v>73.02</v>
      </c>
    </row>
    <row r="104" spans="1:6" ht="26" x14ac:dyDescent="0.3">
      <c r="A104" s="155">
        <v>16</v>
      </c>
      <c r="B104" s="158" t="s">
        <v>281</v>
      </c>
      <c r="C104" s="155" t="s">
        <v>102</v>
      </c>
      <c r="D104" s="155">
        <v>0</v>
      </c>
      <c r="E104" s="163">
        <v>2.6</v>
      </c>
      <c r="F104" s="163">
        <f t="shared" si="3"/>
        <v>0</v>
      </c>
    </row>
    <row r="105" spans="1:6" ht="26" x14ac:dyDescent="0.3">
      <c r="A105" s="155">
        <v>17</v>
      </c>
      <c r="B105" s="166" t="s">
        <v>282</v>
      </c>
      <c r="C105" s="155" t="s">
        <v>202</v>
      </c>
      <c r="D105" s="155">
        <v>12</v>
      </c>
      <c r="E105" s="163">
        <v>5.29</v>
      </c>
      <c r="F105" s="163">
        <f t="shared" si="3"/>
        <v>63.480000000000004</v>
      </c>
    </row>
    <row r="106" spans="1:6" x14ac:dyDescent="0.3">
      <c r="A106" s="155">
        <v>18</v>
      </c>
      <c r="B106" s="158" t="s">
        <v>284</v>
      </c>
      <c r="C106" s="155" t="s">
        <v>102</v>
      </c>
      <c r="D106" s="155">
        <v>2</v>
      </c>
      <c r="E106" s="163">
        <v>15.23</v>
      </c>
      <c r="F106" s="163">
        <f t="shared" si="3"/>
        <v>30.46</v>
      </c>
    </row>
    <row r="107" spans="1:6" ht="39" x14ac:dyDescent="0.3">
      <c r="A107" s="155">
        <v>19</v>
      </c>
      <c r="B107" s="158" t="s">
        <v>109</v>
      </c>
      <c r="C107" s="155" t="s">
        <v>102</v>
      </c>
      <c r="D107" s="155">
        <v>2</v>
      </c>
      <c r="E107" s="163">
        <v>13.1</v>
      </c>
      <c r="F107" s="163">
        <f t="shared" si="3"/>
        <v>26.2</v>
      </c>
    </row>
    <row r="108" spans="1:6" ht="52" x14ac:dyDescent="0.3">
      <c r="A108" s="155">
        <v>20</v>
      </c>
      <c r="B108" s="166" t="s">
        <v>285</v>
      </c>
      <c r="C108" s="155" t="s">
        <v>102</v>
      </c>
      <c r="D108" s="155">
        <v>0</v>
      </c>
      <c r="E108" s="163">
        <v>20.7</v>
      </c>
      <c r="F108" s="163">
        <f t="shared" si="3"/>
        <v>0</v>
      </c>
    </row>
    <row r="109" spans="1:6" ht="52" x14ac:dyDescent="0.3">
      <c r="A109" s="155">
        <v>21</v>
      </c>
      <c r="B109" s="158" t="s">
        <v>286</v>
      </c>
      <c r="C109" s="155" t="s">
        <v>102</v>
      </c>
      <c r="D109" s="155">
        <v>2</v>
      </c>
      <c r="E109" s="163">
        <v>22.79</v>
      </c>
      <c r="F109" s="163">
        <f t="shared" si="3"/>
        <v>45.58</v>
      </c>
    </row>
    <row r="110" spans="1:6" ht="52" x14ac:dyDescent="0.3">
      <c r="A110" s="155">
        <v>22</v>
      </c>
      <c r="B110" s="158" t="s">
        <v>287</v>
      </c>
      <c r="C110" s="155" t="s">
        <v>102</v>
      </c>
      <c r="D110" s="155">
        <v>4</v>
      </c>
      <c r="E110" s="163">
        <v>40.79</v>
      </c>
      <c r="F110" s="163">
        <f t="shared" si="3"/>
        <v>163.16</v>
      </c>
    </row>
    <row r="111" spans="1:6" x14ac:dyDescent="0.3">
      <c r="A111" s="439"/>
      <c r="B111" s="439"/>
      <c r="C111" s="439"/>
      <c r="D111" s="439"/>
      <c r="E111" s="439"/>
      <c r="F111" s="164">
        <f>SUM(F89:F110)</f>
        <v>1734.8600000000006</v>
      </c>
    </row>
    <row r="112" spans="1:6" x14ac:dyDescent="0.3">
      <c r="A112" s="434" t="s">
        <v>317</v>
      </c>
      <c r="B112" s="434"/>
      <c r="C112" s="434"/>
      <c r="D112" s="434"/>
      <c r="E112" s="434"/>
      <c r="F112" s="161">
        <f>F111/3</f>
        <v>578.28666666666686</v>
      </c>
    </row>
    <row r="116" spans="1:6" x14ac:dyDescent="0.3">
      <c r="A116" s="435" t="s">
        <v>292</v>
      </c>
      <c r="B116" s="435"/>
      <c r="C116" s="435"/>
      <c r="D116" s="435"/>
      <c r="E116" s="435"/>
      <c r="F116" s="435"/>
    </row>
    <row r="117" spans="1:6" ht="26" x14ac:dyDescent="0.3">
      <c r="A117" s="162" t="s">
        <v>54</v>
      </c>
      <c r="B117" s="162" t="s">
        <v>98</v>
      </c>
      <c r="C117" s="162" t="s">
        <v>99</v>
      </c>
      <c r="D117" s="165" t="s">
        <v>323</v>
      </c>
      <c r="E117" s="162" t="s">
        <v>186</v>
      </c>
      <c r="F117" s="162" t="s">
        <v>187</v>
      </c>
    </row>
    <row r="118" spans="1:6" ht="26" x14ac:dyDescent="0.3">
      <c r="A118" s="155">
        <v>1</v>
      </c>
      <c r="B118" s="158" t="s">
        <v>266</v>
      </c>
      <c r="C118" s="155" t="s">
        <v>196</v>
      </c>
      <c r="D118" s="155">
        <v>1</v>
      </c>
      <c r="E118" s="163">
        <v>14.06</v>
      </c>
      <c r="F118" s="163">
        <f>D118*E118</f>
        <v>14.06</v>
      </c>
    </row>
    <row r="119" spans="1:6" x14ac:dyDescent="0.3">
      <c r="A119" s="155">
        <v>2</v>
      </c>
      <c r="B119" s="166" t="s">
        <v>107</v>
      </c>
      <c r="C119" s="155" t="s">
        <v>267</v>
      </c>
      <c r="D119" s="155">
        <v>4</v>
      </c>
      <c r="E119" s="163">
        <v>7.99</v>
      </c>
      <c r="F119" s="163">
        <f t="shared" ref="F119:F137" si="4">D119*E119</f>
        <v>31.96</v>
      </c>
    </row>
    <row r="120" spans="1:6" ht="26" x14ac:dyDescent="0.3">
      <c r="A120" s="155">
        <v>3</v>
      </c>
      <c r="B120" s="158" t="s">
        <v>268</v>
      </c>
      <c r="C120" s="155" t="s">
        <v>202</v>
      </c>
      <c r="D120" s="155">
        <v>5</v>
      </c>
      <c r="E120" s="163">
        <v>10.62</v>
      </c>
      <c r="F120" s="163">
        <f t="shared" si="4"/>
        <v>53.099999999999994</v>
      </c>
    </row>
    <row r="121" spans="1:6" x14ac:dyDescent="0.3">
      <c r="A121" s="155">
        <v>4</v>
      </c>
      <c r="B121" s="158" t="s">
        <v>108</v>
      </c>
      <c r="C121" s="155" t="s">
        <v>202</v>
      </c>
      <c r="D121" s="155">
        <v>10</v>
      </c>
      <c r="E121" s="163">
        <v>8.98</v>
      </c>
      <c r="F121" s="163">
        <f t="shared" si="4"/>
        <v>89.800000000000011</v>
      </c>
    </row>
    <row r="122" spans="1:6" ht="39" x14ac:dyDescent="0.3">
      <c r="A122" s="155">
        <v>5</v>
      </c>
      <c r="B122" s="158" t="s">
        <v>270</v>
      </c>
      <c r="C122" s="155" t="s">
        <v>103</v>
      </c>
      <c r="D122" s="155">
        <v>1</v>
      </c>
      <c r="E122" s="163">
        <v>72.13</v>
      </c>
      <c r="F122" s="163">
        <f t="shared" si="4"/>
        <v>72.13</v>
      </c>
    </row>
    <row r="123" spans="1:6" ht="26" x14ac:dyDescent="0.3">
      <c r="A123" s="155">
        <v>6</v>
      </c>
      <c r="B123" s="158" t="s">
        <v>271</v>
      </c>
      <c r="C123" s="167" t="s">
        <v>196</v>
      </c>
      <c r="D123" s="155">
        <v>2</v>
      </c>
      <c r="E123" s="163">
        <v>15.23</v>
      </c>
      <c r="F123" s="163">
        <f t="shared" si="4"/>
        <v>30.46</v>
      </c>
    </row>
    <row r="124" spans="1:6" x14ac:dyDescent="0.3">
      <c r="A124" s="155">
        <v>7</v>
      </c>
      <c r="B124" s="158" t="s">
        <v>272</v>
      </c>
      <c r="C124" s="155" t="s">
        <v>202</v>
      </c>
      <c r="D124" s="155">
        <v>5</v>
      </c>
      <c r="E124" s="163">
        <v>2.12</v>
      </c>
      <c r="F124" s="163">
        <f t="shared" si="4"/>
        <v>10.600000000000001</v>
      </c>
    </row>
    <row r="125" spans="1:6" ht="26" x14ac:dyDescent="0.3">
      <c r="A125" s="155">
        <v>8</v>
      </c>
      <c r="B125" s="158" t="s">
        <v>320</v>
      </c>
      <c r="C125" s="155" t="s">
        <v>202</v>
      </c>
      <c r="D125" s="155">
        <v>24</v>
      </c>
      <c r="E125" s="163">
        <v>0.86</v>
      </c>
      <c r="F125" s="163">
        <f t="shared" si="4"/>
        <v>20.64</v>
      </c>
    </row>
    <row r="126" spans="1:6" ht="52" x14ac:dyDescent="0.3">
      <c r="A126" s="155">
        <v>9</v>
      </c>
      <c r="B126" s="158" t="s">
        <v>274</v>
      </c>
      <c r="C126" s="155" t="s">
        <v>202</v>
      </c>
      <c r="D126" s="155">
        <v>5</v>
      </c>
      <c r="E126" s="163">
        <v>1.1599999999999999</v>
      </c>
      <c r="F126" s="163">
        <f t="shared" si="4"/>
        <v>5.8</v>
      </c>
    </row>
    <row r="127" spans="1:6" x14ac:dyDescent="0.3">
      <c r="A127" s="155">
        <v>10</v>
      </c>
      <c r="B127" s="158" t="s">
        <v>275</v>
      </c>
      <c r="C127" s="155" t="s">
        <v>202</v>
      </c>
      <c r="D127" s="155">
        <v>6</v>
      </c>
      <c r="E127" s="163">
        <v>2.0699999999999998</v>
      </c>
      <c r="F127" s="163">
        <f t="shared" si="4"/>
        <v>12.419999999999998</v>
      </c>
    </row>
    <row r="128" spans="1:6" x14ac:dyDescent="0.3">
      <c r="A128" s="155">
        <v>11</v>
      </c>
      <c r="B128" s="166" t="s">
        <v>276</v>
      </c>
      <c r="C128" s="153" t="s">
        <v>267</v>
      </c>
      <c r="D128" s="153">
        <v>3</v>
      </c>
      <c r="E128" s="163">
        <v>8.0500000000000007</v>
      </c>
      <c r="F128" s="163">
        <f t="shared" si="4"/>
        <v>24.150000000000002</v>
      </c>
    </row>
    <row r="129" spans="1:6" x14ac:dyDescent="0.3">
      <c r="A129" s="155">
        <v>12</v>
      </c>
      <c r="B129" s="158" t="s">
        <v>293</v>
      </c>
      <c r="C129" s="155" t="s">
        <v>267</v>
      </c>
      <c r="D129" s="155">
        <v>2</v>
      </c>
      <c r="E129" s="163">
        <v>13.89</v>
      </c>
      <c r="F129" s="163">
        <f t="shared" si="4"/>
        <v>27.78</v>
      </c>
    </row>
    <row r="130" spans="1:6" x14ac:dyDescent="0.3">
      <c r="A130" s="155">
        <v>13</v>
      </c>
      <c r="B130" s="166" t="s">
        <v>278</v>
      </c>
      <c r="C130" s="155" t="s">
        <v>202</v>
      </c>
      <c r="D130" s="155">
        <v>4</v>
      </c>
      <c r="E130" s="163">
        <v>16.5</v>
      </c>
      <c r="F130" s="163">
        <f t="shared" si="4"/>
        <v>66</v>
      </c>
    </row>
    <row r="131" spans="1:6" ht="26" x14ac:dyDescent="0.3">
      <c r="A131" s="155">
        <v>14</v>
      </c>
      <c r="B131" s="158" t="s">
        <v>279</v>
      </c>
      <c r="C131" s="155" t="s">
        <v>280</v>
      </c>
      <c r="D131" s="155">
        <v>4</v>
      </c>
      <c r="E131" s="163">
        <v>12.17</v>
      </c>
      <c r="F131" s="163">
        <f t="shared" si="4"/>
        <v>48.68</v>
      </c>
    </row>
    <row r="132" spans="1:6" ht="26" x14ac:dyDescent="0.3">
      <c r="A132" s="155">
        <v>15</v>
      </c>
      <c r="B132" s="158" t="s">
        <v>281</v>
      </c>
      <c r="C132" s="155" t="s">
        <v>102</v>
      </c>
      <c r="D132" s="155">
        <v>1</v>
      </c>
      <c r="E132" s="163">
        <v>2.6</v>
      </c>
      <c r="F132" s="163">
        <f t="shared" si="4"/>
        <v>2.6</v>
      </c>
    </row>
    <row r="133" spans="1:6" ht="26" x14ac:dyDescent="0.3">
      <c r="A133" s="155">
        <v>16</v>
      </c>
      <c r="B133" s="166" t="s">
        <v>282</v>
      </c>
      <c r="C133" s="155" t="s">
        <v>202</v>
      </c>
      <c r="D133" s="155">
        <v>4</v>
      </c>
      <c r="E133" s="163">
        <v>5.29</v>
      </c>
      <c r="F133" s="163">
        <f t="shared" si="4"/>
        <v>21.16</v>
      </c>
    </row>
    <row r="134" spans="1:6" x14ac:dyDescent="0.3">
      <c r="A134" s="155">
        <v>17</v>
      </c>
      <c r="B134" s="158" t="s">
        <v>284</v>
      </c>
      <c r="C134" s="155" t="s">
        <v>102</v>
      </c>
      <c r="D134" s="155">
        <v>1</v>
      </c>
      <c r="E134" s="163">
        <v>15.23</v>
      </c>
      <c r="F134" s="163">
        <f t="shared" si="4"/>
        <v>15.23</v>
      </c>
    </row>
    <row r="135" spans="1:6" ht="39" x14ac:dyDescent="0.3">
      <c r="A135" s="155">
        <v>18</v>
      </c>
      <c r="B135" s="158" t="s">
        <v>109</v>
      </c>
      <c r="C135" s="155" t="s">
        <v>102</v>
      </c>
      <c r="D135" s="155">
        <v>3</v>
      </c>
      <c r="E135" s="163">
        <v>13.1</v>
      </c>
      <c r="F135" s="163">
        <f t="shared" si="4"/>
        <v>39.299999999999997</v>
      </c>
    </row>
    <row r="136" spans="1:6" ht="52" x14ac:dyDescent="0.3">
      <c r="A136" s="155">
        <v>19</v>
      </c>
      <c r="B136" s="158" t="s">
        <v>286</v>
      </c>
      <c r="C136" s="155" t="s">
        <v>102</v>
      </c>
      <c r="D136" s="155">
        <v>3</v>
      </c>
      <c r="E136" s="163">
        <v>22.79</v>
      </c>
      <c r="F136" s="163">
        <f t="shared" si="4"/>
        <v>68.37</v>
      </c>
    </row>
    <row r="137" spans="1:6" ht="52" x14ac:dyDescent="0.3">
      <c r="A137" s="155">
        <v>20</v>
      </c>
      <c r="B137" s="158" t="s">
        <v>287</v>
      </c>
      <c r="C137" s="155" t="s">
        <v>102</v>
      </c>
      <c r="D137" s="155">
        <v>3</v>
      </c>
      <c r="E137" s="163">
        <v>40.79</v>
      </c>
      <c r="F137" s="163">
        <f t="shared" si="4"/>
        <v>122.37</v>
      </c>
    </row>
    <row r="138" spans="1:6" x14ac:dyDescent="0.3">
      <c r="A138" s="410"/>
      <c r="B138" s="410"/>
      <c r="C138" s="410"/>
      <c r="D138" s="410"/>
      <c r="E138" s="410"/>
      <c r="F138" s="148">
        <f>SUM(F118:F137)</f>
        <v>776.61</v>
      </c>
    </row>
    <row r="139" spans="1:6" x14ac:dyDescent="0.3">
      <c r="A139" s="434" t="s">
        <v>317</v>
      </c>
      <c r="B139" s="434"/>
      <c r="C139" s="434"/>
      <c r="D139" s="434"/>
      <c r="E139" s="434"/>
      <c r="F139" s="161">
        <f>F138/3</f>
        <v>258.87</v>
      </c>
    </row>
    <row r="143" spans="1:6" x14ac:dyDescent="0.3">
      <c r="A143" s="435" t="s">
        <v>294</v>
      </c>
      <c r="B143" s="435"/>
      <c r="C143" s="435"/>
      <c r="D143" s="435"/>
      <c r="E143" s="435"/>
      <c r="F143" s="435"/>
    </row>
    <row r="144" spans="1:6" ht="26" x14ac:dyDescent="0.3">
      <c r="A144" s="162" t="s">
        <v>54</v>
      </c>
      <c r="B144" s="162" t="s">
        <v>98</v>
      </c>
      <c r="C144" s="162" t="s">
        <v>99</v>
      </c>
      <c r="D144" s="165" t="s">
        <v>323</v>
      </c>
      <c r="E144" s="162" t="s">
        <v>186</v>
      </c>
      <c r="F144" s="162" t="s">
        <v>187</v>
      </c>
    </row>
    <row r="145" spans="1:6" ht="26" x14ac:dyDescent="0.3">
      <c r="A145" s="155">
        <v>1</v>
      </c>
      <c r="B145" s="158" t="s">
        <v>295</v>
      </c>
      <c r="C145" s="155" t="s">
        <v>196</v>
      </c>
      <c r="D145" s="155">
        <v>2</v>
      </c>
      <c r="E145" s="163">
        <v>14.06</v>
      </c>
      <c r="F145" s="163">
        <f>D145*E145</f>
        <v>28.12</v>
      </c>
    </row>
    <row r="146" spans="1:6" x14ac:dyDescent="0.3">
      <c r="A146" s="155">
        <v>2</v>
      </c>
      <c r="B146" s="166" t="s">
        <v>107</v>
      </c>
      <c r="C146" s="155" t="s">
        <v>267</v>
      </c>
      <c r="D146" s="155">
        <v>2</v>
      </c>
      <c r="E146" s="163">
        <v>7.99</v>
      </c>
      <c r="F146" s="163">
        <f t="shared" ref="F146:F164" si="5">D146*E146</f>
        <v>15.98</v>
      </c>
    </row>
    <row r="147" spans="1:6" ht="26" x14ac:dyDescent="0.3">
      <c r="A147" s="155">
        <v>3</v>
      </c>
      <c r="B147" s="158" t="s">
        <v>268</v>
      </c>
      <c r="C147" s="155" t="s">
        <v>202</v>
      </c>
      <c r="D147" s="155">
        <v>3</v>
      </c>
      <c r="E147" s="163">
        <v>10.62</v>
      </c>
      <c r="F147" s="163">
        <f t="shared" si="5"/>
        <v>31.86</v>
      </c>
    </row>
    <row r="148" spans="1:6" x14ac:dyDescent="0.3">
      <c r="A148" s="155">
        <v>4</v>
      </c>
      <c r="B148" s="158" t="s">
        <v>108</v>
      </c>
      <c r="C148" s="155" t="s">
        <v>202</v>
      </c>
      <c r="D148" s="155">
        <v>15</v>
      </c>
      <c r="E148" s="163">
        <v>8.98</v>
      </c>
      <c r="F148" s="163">
        <f t="shared" si="5"/>
        <v>134.70000000000002</v>
      </c>
    </row>
    <row r="149" spans="1:6" ht="39" x14ac:dyDescent="0.3">
      <c r="A149" s="155">
        <v>5</v>
      </c>
      <c r="B149" s="158" t="s">
        <v>270</v>
      </c>
      <c r="C149" s="155" t="s">
        <v>103</v>
      </c>
      <c r="D149" s="155">
        <v>1</v>
      </c>
      <c r="E149" s="163">
        <v>72.13</v>
      </c>
      <c r="F149" s="163">
        <f t="shared" si="5"/>
        <v>72.13</v>
      </c>
    </row>
    <row r="150" spans="1:6" ht="26" x14ac:dyDescent="0.3">
      <c r="A150" s="155">
        <v>6</v>
      </c>
      <c r="B150" s="158" t="s">
        <v>271</v>
      </c>
      <c r="C150" s="167" t="s">
        <v>196</v>
      </c>
      <c r="D150" s="155">
        <v>2</v>
      </c>
      <c r="E150" s="163">
        <v>15.23</v>
      </c>
      <c r="F150" s="163">
        <f t="shared" si="5"/>
        <v>30.46</v>
      </c>
    </row>
    <row r="151" spans="1:6" x14ac:dyDescent="0.3">
      <c r="A151" s="155">
        <v>7</v>
      </c>
      <c r="B151" s="158" t="s">
        <v>272</v>
      </c>
      <c r="C151" s="155" t="s">
        <v>202</v>
      </c>
      <c r="D151" s="155">
        <v>3</v>
      </c>
      <c r="E151" s="163">
        <v>2.12</v>
      </c>
      <c r="F151" s="163">
        <f t="shared" si="5"/>
        <v>6.36</v>
      </c>
    </row>
    <row r="152" spans="1:6" ht="26" x14ac:dyDescent="0.3">
      <c r="A152" s="155">
        <v>8</v>
      </c>
      <c r="B152" s="158" t="s">
        <v>320</v>
      </c>
      <c r="C152" s="155" t="s">
        <v>202</v>
      </c>
      <c r="D152" s="155">
        <v>24</v>
      </c>
      <c r="E152" s="163">
        <v>0.86</v>
      </c>
      <c r="F152" s="163">
        <f t="shared" si="5"/>
        <v>20.64</v>
      </c>
    </row>
    <row r="153" spans="1:6" ht="52" x14ac:dyDescent="0.3">
      <c r="A153" s="155">
        <v>9</v>
      </c>
      <c r="B153" s="158" t="s">
        <v>274</v>
      </c>
      <c r="C153" s="155" t="s">
        <v>202</v>
      </c>
      <c r="D153" s="155">
        <v>3</v>
      </c>
      <c r="E153" s="163">
        <v>1.1599999999999999</v>
      </c>
      <c r="F153" s="163">
        <f t="shared" si="5"/>
        <v>3.4799999999999995</v>
      </c>
    </row>
    <row r="154" spans="1:6" x14ac:dyDescent="0.3">
      <c r="A154" s="155">
        <v>10</v>
      </c>
      <c r="B154" s="158" t="s">
        <v>275</v>
      </c>
      <c r="C154" s="155" t="s">
        <v>202</v>
      </c>
      <c r="D154" s="155">
        <v>8</v>
      </c>
      <c r="E154" s="163">
        <v>2.0699999999999998</v>
      </c>
      <c r="F154" s="163">
        <f t="shared" si="5"/>
        <v>16.559999999999999</v>
      </c>
    </row>
    <row r="155" spans="1:6" x14ac:dyDescent="0.3">
      <c r="A155" s="155">
        <v>11</v>
      </c>
      <c r="B155" s="166" t="s">
        <v>276</v>
      </c>
      <c r="C155" s="153" t="s">
        <v>267</v>
      </c>
      <c r="D155" s="153">
        <v>3</v>
      </c>
      <c r="E155" s="163">
        <v>8.0500000000000007</v>
      </c>
      <c r="F155" s="163">
        <f t="shared" si="5"/>
        <v>24.150000000000002</v>
      </c>
    </row>
    <row r="156" spans="1:6" x14ac:dyDescent="0.3">
      <c r="A156" s="155">
        <v>12</v>
      </c>
      <c r="B156" s="166" t="s">
        <v>277</v>
      </c>
      <c r="C156" s="153" t="s">
        <v>267</v>
      </c>
      <c r="D156" s="153">
        <v>2</v>
      </c>
      <c r="E156" s="163">
        <v>13.89</v>
      </c>
      <c r="F156" s="163">
        <f t="shared" si="5"/>
        <v>27.78</v>
      </c>
    </row>
    <row r="157" spans="1:6" ht="26" x14ac:dyDescent="0.3">
      <c r="A157" s="155">
        <v>13</v>
      </c>
      <c r="B157" s="158" t="s">
        <v>279</v>
      </c>
      <c r="C157" s="155" t="s">
        <v>280</v>
      </c>
      <c r="D157" s="155">
        <v>4</v>
      </c>
      <c r="E157" s="163">
        <v>12.17</v>
      </c>
      <c r="F157" s="163">
        <f t="shared" si="5"/>
        <v>48.68</v>
      </c>
    </row>
    <row r="158" spans="1:6" ht="26" x14ac:dyDescent="0.3">
      <c r="A158" s="155">
        <v>14</v>
      </c>
      <c r="B158" s="158" t="s">
        <v>281</v>
      </c>
      <c r="C158" s="155" t="s">
        <v>102</v>
      </c>
      <c r="D158" s="155">
        <v>1</v>
      </c>
      <c r="E158" s="163">
        <v>2.6</v>
      </c>
      <c r="F158" s="163">
        <f t="shared" si="5"/>
        <v>2.6</v>
      </c>
    </row>
    <row r="159" spans="1:6" ht="26" x14ac:dyDescent="0.3">
      <c r="A159" s="155">
        <v>15</v>
      </c>
      <c r="B159" s="166" t="s">
        <v>282</v>
      </c>
      <c r="C159" s="155" t="s">
        <v>202</v>
      </c>
      <c r="D159" s="155">
        <v>4</v>
      </c>
      <c r="E159" s="163">
        <v>5.29</v>
      </c>
      <c r="F159" s="163">
        <f t="shared" si="5"/>
        <v>21.16</v>
      </c>
    </row>
    <row r="160" spans="1:6" x14ac:dyDescent="0.3">
      <c r="A160" s="155">
        <v>16</v>
      </c>
      <c r="B160" s="158" t="s">
        <v>284</v>
      </c>
      <c r="C160" s="155" t="s">
        <v>102</v>
      </c>
      <c r="D160" s="155">
        <v>1</v>
      </c>
      <c r="E160" s="163">
        <v>15.23</v>
      </c>
      <c r="F160" s="163">
        <f t="shared" si="5"/>
        <v>15.23</v>
      </c>
    </row>
    <row r="161" spans="1:6" ht="39" x14ac:dyDescent="0.3">
      <c r="A161" s="155">
        <v>17</v>
      </c>
      <c r="B161" s="158" t="s">
        <v>109</v>
      </c>
      <c r="C161" s="155" t="s">
        <v>102</v>
      </c>
      <c r="D161" s="155">
        <v>3</v>
      </c>
      <c r="E161" s="163">
        <v>13.1</v>
      </c>
      <c r="F161" s="163">
        <f t="shared" si="5"/>
        <v>39.299999999999997</v>
      </c>
    </row>
    <row r="162" spans="1:6" ht="52" x14ac:dyDescent="0.3">
      <c r="A162" s="155">
        <v>18</v>
      </c>
      <c r="B162" s="158" t="s">
        <v>285</v>
      </c>
      <c r="C162" s="155" t="s">
        <v>102</v>
      </c>
      <c r="D162" s="155">
        <v>2</v>
      </c>
      <c r="E162" s="163">
        <v>20.7</v>
      </c>
      <c r="F162" s="163">
        <f t="shared" si="5"/>
        <v>41.4</v>
      </c>
    </row>
    <row r="163" spans="1:6" ht="52" x14ac:dyDescent="0.3">
      <c r="A163" s="155">
        <v>19</v>
      </c>
      <c r="B163" s="158" t="s">
        <v>286</v>
      </c>
      <c r="C163" s="155" t="s">
        <v>102</v>
      </c>
      <c r="D163" s="155">
        <v>1</v>
      </c>
      <c r="E163" s="163">
        <v>22.79</v>
      </c>
      <c r="F163" s="163">
        <f t="shared" si="5"/>
        <v>22.79</v>
      </c>
    </row>
    <row r="164" spans="1:6" ht="52" x14ac:dyDescent="0.3">
      <c r="A164" s="155">
        <v>20</v>
      </c>
      <c r="B164" s="158" t="s">
        <v>287</v>
      </c>
      <c r="C164" s="155" t="s">
        <v>102</v>
      </c>
      <c r="D164" s="155">
        <v>2</v>
      </c>
      <c r="E164" s="163">
        <v>40.79</v>
      </c>
      <c r="F164" s="163">
        <f t="shared" si="5"/>
        <v>81.58</v>
      </c>
    </row>
    <row r="165" spans="1:6" x14ac:dyDescent="0.3">
      <c r="A165" s="439"/>
      <c r="B165" s="439"/>
      <c r="C165" s="439"/>
      <c r="D165" s="439"/>
      <c r="E165" s="439"/>
      <c r="F165" s="164">
        <f>SUM(F145:F164)</f>
        <v>684.96</v>
      </c>
    </row>
    <row r="166" spans="1:6" x14ac:dyDescent="0.3">
      <c r="A166" s="434" t="s">
        <v>316</v>
      </c>
      <c r="B166" s="434"/>
      <c r="C166" s="434"/>
      <c r="D166" s="434"/>
      <c r="E166" s="434"/>
      <c r="F166" s="161">
        <f>F165/2</f>
        <v>342.48</v>
      </c>
    </row>
    <row r="170" spans="1:6" x14ac:dyDescent="0.3">
      <c r="A170" s="435" t="s">
        <v>290</v>
      </c>
      <c r="B170" s="435"/>
      <c r="C170" s="435"/>
      <c r="D170" s="435"/>
      <c r="E170" s="435"/>
      <c r="F170" s="435"/>
    </row>
    <row r="171" spans="1:6" ht="26" x14ac:dyDescent="0.3">
      <c r="A171" s="162" t="s">
        <v>54</v>
      </c>
      <c r="B171" s="162" t="s">
        <v>98</v>
      </c>
      <c r="C171" s="162" t="s">
        <v>99</v>
      </c>
      <c r="D171" s="165" t="s">
        <v>323</v>
      </c>
      <c r="E171" s="162" t="s">
        <v>186</v>
      </c>
      <c r="F171" s="162" t="s">
        <v>187</v>
      </c>
    </row>
    <row r="172" spans="1:6" ht="26" x14ac:dyDescent="0.3">
      <c r="A172" s="155">
        <v>1</v>
      </c>
      <c r="B172" s="158" t="s">
        <v>266</v>
      </c>
      <c r="C172" s="155" t="s">
        <v>196</v>
      </c>
      <c r="D172" s="155">
        <v>1</v>
      </c>
      <c r="E172" s="163">
        <v>14.06</v>
      </c>
      <c r="F172" s="163">
        <f>D172*E172</f>
        <v>14.06</v>
      </c>
    </row>
    <row r="173" spans="1:6" x14ac:dyDescent="0.3">
      <c r="A173" s="155">
        <v>2</v>
      </c>
      <c r="B173" s="166" t="s">
        <v>107</v>
      </c>
      <c r="C173" s="155" t="s">
        <v>267</v>
      </c>
      <c r="D173" s="155">
        <v>4</v>
      </c>
      <c r="E173" s="163">
        <v>7.99</v>
      </c>
      <c r="F173" s="163">
        <f t="shared" ref="F173:F189" si="6">D173*E173</f>
        <v>31.96</v>
      </c>
    </row>
    <row r="174" spans="1:6" ht="26" x14ac:dyDescent="0.3">
      <c r="A174" s="155">
        <v>3</v>
      </c>
      <c r="B174" s="158" t="s">
        <v>268</v>
      </c>
      <c r="C174" s="155" t="s">
        <v>202</v>
      </c>
      <c r="D174" s="155">
        <v>4</v>
      </c>
      <c r="E174" s="163">
        <v>10.62</v>
      </c>
      <c r="F174" s="163">
        <f t="shared" si="6"/>
        <v>42.48</v>
      </c>
    </row>
    <row r="175" spans="1:6" x14ac:dyDescent="0.3">
      <c r="A175" s="155">
        <v>4</v>
      </c>
      <c r="B175" s="158" t="s">
        <v>108</v>
      </c>
      <c r="C175" s="155" t="s">
        <v>202</v>
      </c>
      <c r="D175" s="155">
        <v>10</v>
      </c>
      <c r="E175" s="163">
        <v>8.98</v>
      </c>
      <c r="F175" s="163">
        <f t="shared" si="6"/>
        <v>89.800000000000011</v>
      </c>
    </row>
    <row r="176" spans="1:6" ht="26" x14ac:dyDescent="0.3">
      <c r="A176" s="155">
        <v>5</v>
      </c>
      <c r="B176" s="158" t="s">
        <v>269</v>
      </c>
      <c r="C176" s="155" t="s">
        <v>196</v>
      </c>
      <c r="D176" s="155">
        <v>2</v>
      </c>
      <c r="E176" s="163">
        <v>25.66</v>
      </c>
      <c r="F176" s="163">
        <f t="shared" si="6"/>
        <v>51.32</v>
      </c>
    </row>
    <row r="177" spans="1:6" ht="39" x14ac:dyDescent="0.3">
      <c r="A177" s="155">
        <v>6</v>
      </c>
      <c r="B177" s="158" t="s">
        <v>270</v>
      </c>
      <c r="C177" s="155" t="s">
        <v>103</v>
      </c>
      <c r="D177" s="155">
        <v>1</v>
      </c>
      <c r="E177" s="163">
        <v>72.13</v>
      </c>
      <c r="F177" s="163">
        <f t="shared" si="6"/>
        <v>72.13</v>
      </c>
    </row>
    <row r="178" spans="1:6" ht="26" x14ac:dyDescent="0.3">
      <c r="A178" s="155">
        <v>7</v>
      </c>
      <c r="B178" s="158" t="s">
        <v>271</v>
      </c>
      <c r="C178" s="167" t="s">
        <v>196</v>
      </c>
      <c r="D178" s="155">
        <v>2</v>
      </c>
      <c r="E178" s="163">
        <v>15.23</v>
      </c>
      <c r="F178" s="163">
        <f t="shared" si="6"/>
        <v>30.46</v>
      </c>
    </row>
    <row r="179" spans="1:6" x14ac:dyDescent="0.3">
      <c r="A179" s="155">
        <v>8</v>
      </c>
      <c r="B179" s="158" t="s">
        <v>272</v>
      </c>
      <c r="C179" s="155" t="s">
        <v>202</v>
      </c>
      <c r="D179" s="155">
        <v>5</v>
      </c>
      <c r="E179" s="163">
        <v>2.12</v>
      </c>
      <c r="F179" s="163">
        <f t="shared" si="6"/>
        <v>10.600000000000001</v>
      </c>
    </row>
    <row r="180" spans="1:6" ht="26" x14ac:dyDescent="0.3">
      <c r="A180" s="155">
        <v>9</v>
      </c>
      <c r="B180" s="158" t="s">
        <v>320</v>
      </c>
      <c r="C180" s="155" t="s">
        <v>202</v>
      </c>
      <c r="D180" s="155">
        <v>1</v>
      </c>
      <c r="E180" s="163">
        <v>0.86</v>
      </c>
      <c r="F180" s="163">
        <f t="shared" si="6"/>
        <v>0.86</v>
      </c>
    </row>
    <row r="181" spans="1:6" ht="52" x14ac:dyDescent="0.3">
      <c r="A181" s="155">
        <v>10</v>
      </c>
      <c r="B181" s="158" t="s">
        <v>274</v>
      </c>
      <c r="C181" s="155" t="s">
        <v>202</v>
      </c>
      <c r="D181" s="155">
        <v>4</v>
      </c>
      <c r="E181" s="163">
        <v>1.1599999999999999</v>
      </c>
      <c r="F181" s="163">
        <f t="shared" si="6"/>
        <v>4.6399999999999997</v>
      </c>
    </row>
    <row r="182" spans="1:6" x14ac:dyDescent="0.3">
      <c r="A182" s="155">
        <v>11</v>
      </c>
      <c r="B182" s="158" t="s">
        <v>275</v>
      </c>
      <c r="C182" s="155" t="s">
        <v>202</v>
      </c>
      <c r="D182" s="155">
        <v>10</v>
      </c>
      <c r="E182" s="163">
        <v>2.0699999999999998</v>
      </c>
      <c r="F182" s="163">
        <f t="shared" si="6"/>
        <v>20.7</v>
      </c>
    </row>
    <row r="183" spans="1:6" x14ac:dyDescent="0.3">
      <c r="A183" s="155">
        <v>12</v>
      </c>
      <c r="B183" s="166" t="s">
        <v>276</v>
      </c>
      <c r="C183" s="153" t="s">
        <v>267</v>
      </c>
      <c r="D183" s="155">
        <v>4</v>
      </c>
      <c r="E183" s="163">
        <v>8.0500000000000007</v>
      </c>
      <c r="F183" s="163">
        <f t="shared" si="6"/>
        <v>32.200000000000003</v>
      </c>
    </row>
    <row r="184" spans="1:6" ht="26" x14ac:dyDescent="0.3">
      <c r="A184" s="155">
        <v>13</v>
      </c>
      <c r="B184" s="158" t="s">
        <v>279</v>
      </c>
      <c r="C184" s="155" t="s">
        <v>280</v>
      </c>
      <c r="D184" s="155">
        <v>4</v>
      </c>
      <c r="E184" s="163">
        <v>12.17</v>
      </c>
      <c r="F184" s="163">
        <f t="shared" si="6"/>
        <v>48.68</v>
      </c>
    </row>
    <row r="185" spans="1:6" ht="26" x14ac:dyDescent="0.3">
      <c r="A185" s="155">
        <v>14</v>
      </c>
      <c r="B185" s="166" t="s">
        <v>282</v>
      </c>
      <c r="C185" s="155" t="s">
        <v>202</v>
      </c>
      <c r="D185" s="155">
        <v>4</v>
      </c>
      <c r="E185" s="163">
        <v>5.29</v>
      </c>
      <c r="F185" s="163">
        <f t="shared" si="6"/>
        <v>21.16</v>
      </c>
    </row>
    <row r="186" spans="1:6" x14ac:dyDescent="0.3">
      <c r="A186" s="155">
        <v>15</v>
      </c>
      <c r="B186" s="158" t="s">
        <v>284</v>
      </c>
      <c r="C186" s="155" t="s">
        <v>102</v>
      </c>
      <c r="D186" s="155">
        <v>1</v>
      </c>
      <c r="E186" s="163">
        <v>15.23</v>
      </c>
      <c r="F186" s="163">
        <f t="shared" si="6"/>
        <v>15.23</v>
      </c>
    </row>
    <row r="187" spans="1:6" ht="39" x14ac:dyDescent="0.3">
      <c r="A187" s="155">
        <v>16</v>
      </c>
      <c r="B187" s="158" t="s">
        <v>109</v>
      </c>
      <c r="C187" s="155" t="s">
        <v>102</v>
      </c>
      <c r="D187" s="155">
        <v>4</v>
      </c>
      <c r="E187" s="163">
        <v>13.1</v>
      </c>
      <c r="F187" s="163">
        <f t="shared" si="6"/>
        <v>52.4</v>
      </c>
    </row>
    <row r="188" spans="1:6" ht="52" x14ac:dyDescent="0.3">
      <c r="A188" s="155">
        <v>17</v>
      </c>
      <c r="B188" s="158" t="s">
        <v>286</v>
      </c>
      <c r="C188" s="155" t="s">
        <v>102</v>
      </c>
      <c r="D188" s="155">
        <v>2</v>
      </c>
      <c r="E188" s="163">
        <v>22.79</v>
      </c>
      <c r="F188" s="163">
        <f t="shared" si="6"/>
        <v>45.58</v>
      </c>
    </row>
    <row r="189" spans="1:6" ht="52" x14ac:dyDescent="0.3">
      <c r="A189" s="155">
        <v>18</v>
      </c>
      <c r="B189" s="158" t="s">
        <v>287</v>
      </c>
      <c r="C189" s="155" t="s">
        <v>102</v>
      </c>
      <c r="D189" s="155">
        <v>4</v>
      </c>
      <c r="E189" s="163">
        <v>40.79</v>
      </c>
      <c r="F189" s="163">
        <f t="shared" si="6"/>
        <v>163.16</v>
      </c>
    </row>
    <row r="190" spans="1:6" x14ac:dyDescent="0.3">
      <c r="A190" s="37"/>
      <c r="B190" s="37"/>
      <c r="C190" s="37"/>
      <c r="D190" s="436" t="s">
        <v>141</v>
      </c>
      <c r="E190" s="436"/>
      <c r="F190" s="164">
        <f>SUM(F172:F189)</f>
        <v>747.42000000000007</v>
      </c>
    </row>
    <row r="191" spans="1:6" x14ac:dyDescent="0.3">
      <c r="A191" s="434" t="s">
        <v>316</v>
      </c>
      <c r="B191" s="434"/>
      <c r="C191" s="434"/>
      <c r="D191" s="434"/>
      <c r="E191" s="434"/>
      <c r="F191" s="161">
        <f>F190/2</f>
        <v>373.71000000000004</v>
      </c>
    </row>
    <row r="194" spans="1:6" ht="17.25" customHeight="1" x14ac:dyDescent="0.3">
      <c r="A194" s="435" t="s">
        <v>409</v>
      </c>
      <c r="B194" s="435"/>
      <c r="C194" s="435"/>
      <c r="D194" s="435"/>
      <c r="E194" s="435"/>
      <c r="F194" s="435"/>
    </row>
    <row r="195" spans="1:6" ht="26" x14ac:dyDescent="0.3">
      <c r="A195" s="162" t="s">
        <v>54</v>
      </c>
      <c r="B195" s="162" t="s">
        <v>98</v>
      </c>
      <c r="C195" s="162" t="s">
        <v>99</v>
      </c>
      <c r="D195" s="173" t="s">
        <v>322</v>
      </c>
      <c r="E195" s="174" t="s">
        <v>226</v>
      </c>
      <c r="F195" s="174" t="s">
        <v>227</v>
      </c>
    </row>
    <row r="196" spans="1:6" ht="26" x14ac:dyDescent="0.3">
      <c r="A196" s="153">
        <v>1</v>
      </c>
      <c r="B196" s="166" t="s">
        <v>266</v>
      </c>
      <c r="C196" s="153" t="s">
        <v>196</v>
      </c>
      <c r="D196" s="80">
        <v>1</v>
      </c>
      <c r="E196" s="163">
        <v>14.06</v>
      </c>
      <c r="F196" s="163">
        <f>D196*E196</f>
        <v>14.06</v>
      </c>
    </row>
    <row r="197" spans="1:6" x14ac:dyDescent="0.3">
      <c r="A197" s="153">
        <v>2</v>
      </c>
      <c r="B197" s="166" t="s">
        <v>107</v>
      </c>
      <c r="C197" s="155" t="s">
        <v>267</v>
      </c>
      <c r="D197" s="168">
        <v>3</v>
      </c>
      <c r="E197" s="163">
        <v>7.99</v>
      </c>
      <c r="F197" s="163">
        <f t="shared" ref="F197:F214" si="7">D197*E197</f>
        <v>23.97</v>
      </c>
    </row>
    <row r="198" spans="1:6" ht="26" x14ac:dyDescent="0.3">
      <c r="A198" s="153">
        <v>3</v>
      </c>
      <c r="B198" s="158" t="s">
        <v>268</v>
      </c>
      <c r="C198" s="155" t="s">
        <v>202</v>
      </c>
      <c r="D198" s="168">
        <v>2</v>
      </c>
      <c r="E198" s="163">
        <v>10.62</v>
      </c>
      <c r="F198" s="163">
        <f t="shared" si="7"/>
        <v>21.24</v>
      </c>
    </row>
    <row r="199" spans="1:6" x14ac:dyDescent="0.3">
      <c r="A199" s="153">
        <v>4</v>
      </c>
      <c r="B199" s="158" t="s">
        <v>108</v>
      </c>
      <c r="C199" s="155" t="s">
        <v>202</v>
      </c>
      <c r="D199" s="168">
        <v>10</v>
      </c>
      <c r="E199" s="163">
        <v>8.98</v>
      </c>
      <c r="F199" s="163">
        <f t="shared" si="7"/>
        <v>89.800000000000011</v>
      </c>
    </row>
    <row r="200" spans="1:6" ht="26" x14ac:dyDescent="0.3">
      <c r="A200" s="153">
        <v>5</v>
      </c>
      <c r="B200" s="158" t="s">
        <v>269</v>
      </c>
      <c r="C200" s="155" t="s">
        <v>196</v>
      </c>
      <c r="D200" s="168">
        <v>1</v>
      </c>
      <c r="E200" s="163">
        <v>25.66</v>
      </c>
      <c r="F200" s="163">
        <f t="shared" si="7"/>
        <v>25.66</v>
      </c>
    </row>
    <row r="201" spans="1:6" ht="26" x14ac:dyDescent="0.3">
      <c r="A201" s="153">
        <v>6</v>
      </c>
      <c r="B201" s="158" t="s">
        <v>271</v>
      </c>
      <c r="C201" s="167" t="s">
        <v>196</v>
      </c>
      <c r="D201" s="168">
        <v>2</v>
      </c>
      <c r="E201" s="163">
        <v>15.23</v>
      </c>
      <c r="F201" s="163">
        <f t="shared" si="7"/>
        <v>30.46</v>
      </c>
    </row>
    <row r="202" spans="1:6" x14ac:dyDescent="0.3">
      <c r="A202" s="153">
        <v>7</v>
      </c>
      <c r="B202" s="158" t="s">
        <v>272</v>
      </c>
      <c r="C202" s="155" t="s">
        <v>202</v>
      </c>
      <c r="D202" s="168">
        <v>8</v>
      </c>
      <c r="E202" s="163">
        <v>2.12</v>
      </c>
      <c r="F202" s="163">
        <f t="shared" si="7"/>
        <v>16.96</v>
      </c>
    </row>
    <row r="203" spans="1:6" ht="39" x14ac:dyDescent="0.3">
      <c r="A203" s="153">
        <v>8</v>
      </c>
      <c r="B203" s="158" t="s">
        <v>319</v>
      </c>
      <c r="C203" s="155" t="s">
        <v>202</v>
      </c>
      <c r="D203" s="168">
        <v>8</v>
      </c>
      <c r="E203" s="163">
        <v>0.86</v>
      </c>
      <c r="F203" s="163">
        <f t="shared" si="7"/>
        <v>6.88</v>
      </c>
    </row>
    <row r="204" spans="1:6" ht="52" x14ac:dyDescent="0.3">
      <c r="A204" s="153">
        <v>9</v>
      </c>
      <c r="B204" s="158" t="s">
        <v>274</v>
      </c>
      <c r="C204" s="155" t="s">
        <v>202</v>
      </c>
      <c r="D204" s="168">
        <v>2</v>
      </c>
      <c r="E204" s="163">
        <v>1.1599999999999999</v>
      </c>
      <c r="F204" s="163">
        <f t="shared" si="7"/>
        <v>2.3199999999999998</v>
      </c>
    </row>
    <row r="205" spans="1:6" x14ac:dyDescent="0.3">
      <c r="A205" s="153">
        <v>10</v>
      </c>
      <c r="B205" s="158" t="s">
        <v>275</v>
      </c>
      <c r="C205" s="155" t="s">
        <v>202</v>
      </c>
      <c r="D205" s="168">
        <v>4</v>
      </c>
      <c r="E205" s="163">
        <v>2.0699999999999998</v>
      </c>
      <c r="F205" s="163">
        <f t="shared" si="7"/>
        <v>8.2799999999999994</v>
      </c>
    </row>
    <row r="206" spans="1:6" x14ac:dyDescent="0.3">
      <c r="A206" s="153">
        <v>11</v>
      </c>
      <c r="B206" s="166" t="s">
        <v>276</v>
      </c>
      <c r="C206" s="155" t="s">
        <v>267</v>
      </c>
      <c r="D206" s="168">
        <v>2</v>
      </c>
      <c r="E206" s="163">
        <v>8.0500000000000007</v>
      </c>
      <c r="F206" s="163">
        <f t="shared" si="7"/>
        <v>16.100000000000001</v>
      </c>
    </row>
    <row r="207" spans="1:6" x14ac:dyDescent="0.3">
      <c r="A207" s="153">
        <v>12</v>
      </c>
      <c r="B207" s="158" t="s">
        <v>277</v>
      </c>
      <c r="C207" s="155" t="s">
        <v>267</v>
      </c>
      <c r="D207" s="168">
        <v>1</v>
      </c>
      <c r="E207" s="163">
        <v>13.89</v>
      </c>
      <c r="F207" s="163">
        <f t="shared" si="7"/>
        <v>13.89</v>
      </c>
    </row>
    <row r="208" spans="1:6" x14ac:dyDescent="0.3">
      <c r="A208" s="153">
        <v>13</v>
      </c>
      <c r="B208" s="166" t="s">
        <v>278</v>
      </c>
      <c r="C208" s="155" t="s">
        <v>202</v>
      </c>
      <c r="D208" s="168">
        <v>1</v>
      </c>
      <c r="E208" s="163">
        <v>16.5</v>
      </c>
      <c r="F208" s="163">
        <f t="shared" si="7"/>
        <v>16.5</v>
      </c>
    </row>
    <row r="209" spans="1:6" ht="26" x14ac:dyDescent="0.3">
      <c r="A209" s="153">
        <v>14</v>
      </c>
      <c r="B209" s="158" t="s">
        <v>279</v>
      </c>
      <c r="C209" s="155" t="s">
        <v>280</v>
      </c>
      <c r="D209" s="168">
        <v>2</v>
      </c>
      <c r="E209" s="163">
        <v>12.17</v>
      </c>
      <c r="F209" s="163">
        <f t="shared" si="7"/>
        <v>24.34</v>
      </c>
    </row>
    <row r="210" spans="1:6" ht="26" x14ac:dyDescent="0.3">
      <c r="A210" s="153">
        <v>15</v>
      </c>
      <c r="B210" s="166" t="s">
        <v>282</v>
      </c>
      <c r="C210" s="155" t="s">
        <v>202</v>
      </c>
      <c r="D210" s="168">
        <v>2</v>
      </c>
      <c r="E210" s="163">
        <v>5.29</v>
      </c>
      <c r="F210" s="163">
        <f t="shared" si="7"/>
        <v>10.58</v>
      </c>
    </row>
    <row r="211" spans="1:6" x14ac:dyDescent="0.3">
      <c r="A211" s="153">
        <v>16</v>
      </c>
      <c r="B211" s="158" t="s">
        <v>284</v>
      </c>
      <c r="C211" s="155" t="s">
        <v>102</v>
      </c>
      <c r="D211" s="168">
        <v>1</v>
      </c>
      <c r="E211" s="163">
        <v>15.23</v>
      </c>
      <c r="F211" s="163">
        <f t="shared" si="7"/>
        <v>15.23</v>
      </c>
    </row>
    <row r="212" spans="1:6" ht="39" x14ac:dyDescent="0.3">
      <c r="A212" s="153">
        <v>17</v>
      </c>
      <c r="B212" s="158" t="s">
        <v>109</v>
      </c>
      <c r="C212" s="155" t="s">
        <v>102</v>
      </c>
      <c r="D212" s="168">
        <v>2</v>
      </c>
      <c r="E212" s="163">
        <v>13.1</v>
      </c>
      <c r="F212" s="163">
        <f t="shared" si="7"/>
        <v>26.2</v>
      </c>
    </row>
    <row r="213" spans="1:6" ht="52" x14ac:dyDescent="0.3">
      <c r="A213" s="153">
        <v>18</v>
      </c>
      <c r="B213" s="166" t="s">
        <v>286</v>
      </c>
      <c r="C213" s="153" t="s">
        <v>102</v>
      </c>
      <c r="D213" s="80">
        <v>1</v>
      </c>
      <c r="E213" s="163">
        <v>22.79</v>
      </c>
      <c r="F213" s="163">
        <f t="shared" si="7"/>
        <v>22.79</v>
      </c>
    </row>
    <row r="214" spans="1:6" ht="39" x14ac:dyDescent="0.3">
      <c r="A214" s="153">
        <v>19</v>
      </c>
      <c r="B214" s="158" t="s">
        <v>289</v>
      </c>
      <c r="C214" s="155" t="s">
        <v>202</v>
      </c>
      <c r="D214" s="168">
        <v>1</v>
      </c>
      <c r="E214" s="163">
        <v>40.79</v>
      </c>
      <c r="F214" s="163">
        <f t="shared" si="7"/>
        <v>40.79</v>
      </c>
    </row>
    <row r="215" spans="1:6" x14ac:dyDescent="0.3">
      <c r="A215" s="410"/>
      <c r="B215" s="410"/>
      <c r="C215" s="410"/>
      <c r="D215" s="410"/>
      <c r="E215" s="410"/>
      <c r="F215" s="164">
        <f>SUM(F196:F214)</f>
        <v>426.05</v>
      </c>
    </row>
    <row r="216" spans="1:6" x14ac:dyDescent="0.3">
      <c r="A216" s="434" t="s">
        <v>315</v>
      </c>
      <c r="B216" s="434"/>
      <c r="C216" s="434"/>
      <c r="D216" s="434"/>
      <c r="E216" s="434"/>
      <c r="F216" s="161">
        <f>F215/1</f>
        <v>426.05</v>
      </c>
    </row>
  </sheetData>
  <mergeCells count="24">
    <mergeCell ref="A1:F1"/>
    <mergeCell ref="A29:E29"/>
    <mergeCell ref="A28:E28"/>
    <mergeCell ref="A166:E166"/>
    <mergeCell ref="A165:E165"/>
    <mergeCell ref="A138:E138"/>
    <mergeCell ref="A60:F60"/>
    <mergeCell ref="A33:F33"/>
    <mergeCell ref="A55:E55"/>
    <mergeCell ref="A83:E83"/>
    <mergeCell ref="A54:E54"/>
    <mergeCell ref="A82:E82"/>
    <mergeCell ref="A87:F87"/>
    <mergeCell ref="A116:F116"/>
    <mergeCell ref="A112:E112"/>
    <mergeCell ref="A111:E111"/>
    <mergeCell ref="A139:E139"/>
    <mergeCell ref="A194:F194"/>
    <mergeCell ref="A215:E215"/>
    <mergeCell ref="A216:E216"/>
    <mergeCell ref="A191:E191"/>
    <mergeCell ref="A143:F143"/>
    <mergeCell ref="A170:F170"/>
    <mergeCell ref="D190:E19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7"/>
  <sheetViews>
    <sheetView showGridLines="0" workbookViewId="0">
      <selection activeCell="G1" sqref="G1"/>
    </sheetView>
  </sheetViews>
  <sheetFormatPr defaultColWidth="8.81640625" defaultRowHeight="15.5" x14ac:dyDescent="0.35"/>
  <cols>
    <col min="1" max="1" width="5.7265625" style="127" customWidth="1"/>
    <col min="2" max="2" width="43.1796875" style="299" customWidth="1"/>
    <col min="3" max="3" width="9.1796875" style="300" customWidth="1"/>
    <col min="4" max="4" width="16.7265625" style="127" customWidth="1"/>
    <col min="5" max="5" width="12.54296875" style="301" customWidth="1"/>
    <col min="6" max="6" width="15.453125" style="127" customWidth="1"/>
    <col min="7" max="7" width="14.1796875" style="127" customWidth="1"/>
    <col min="8" max="8" width="8.81640625" style="127" bestFit="1" customWidth="1"/>
    <col min="9" max="16384" width="8.81640625" style="127"/>
  </cols>
  <sheetData>
    <row r="1" spans="1:6" ht="22.5" customHeight="1" x14ac:dyDescent="0.35">
      <c r="A1" s="430" t="s">
        <v>234</v>
      </c>
      <c r="B1" s="431"/>
      <c r="C1" s="431"/>
      <c r="D1" s="431"/>
      <c r="E1" s="431"/>
      <c r="F1" s="431"/>
    </row>
    <row r="2" spans="1:6" x14ac:dyDescent="0.35">
      <c r="A2" s="443" t="s">
        <v>310</v>
      </c>
      <c r="B2" s="443"/>
      <c r="C2" s="443"/>
      <c r="D2" s="260" t="s">
        <v>253</v>
      </c>
      <c r="E2" s="446" t="s">
        <v>186</v>
      </c>
      <c r="F2" s="446" t="s">
        <v>187</v>
      </c>
    </row>
    <row r="3" spans="1:6" ht="31" x14ac:dyDescent="0.35">
      <c r="A3" s="261" t="s">
        <v>54</v>
      </c>
      <c r="B3" s="261" t="s">
        <v>104</v>
      </c>
      <c r="C3" s="262" t="s">
        <v>99</v>
      </c>
      <c r="D3" s="261" t="s">
        <v>188</v>
      </c>
      <c r="E3" s="447"/>
      <c r="F3" s="447"/>
    </row>
    <row r="4" spans="1:6" ht="62" x14ac:dyDescent="0.35">
      <c r="A4" s="259">
        <v>1</v>
      </c>
      <c r="B4" s="263" t="s">
        <v>235</v>
      </c>
      <c r="C4" s="257" t="s">
        <v>202</v>
      </c>
      <c r="D4" s="264">
        <v>16</v>
      </c>
      <c r="E4" s="132">
        <v>14.47</v>
      </c>
      <c r="F4" s="132">
        <f>D4*E4</f>
        <v>231.52</v>
      </c>
    </row>
    <row r="5" spans="1:6" ht="31" x14ac:dyDescent="0.35">
      <c r="A5" s="259">
        <v>2</v>
      </c>
      <c r="B5" s="263" t="s">
        <v>236</v>
      </c>
      <c r="C5" s="257" t="s">
        <v>202</v>
      </c>
      <c r="D5" s="264">
        <v>16</v>
      </c>
      <c r="E5" s="132">
        <v>9.8000000000000007</v>
      </c>
      <c r="F5" s="132">
        <f t="shared" ref="F5:F24" si="0">D5*E5</f>
        <v>156.80000000000001</v>
      </c>
    </row>
    <row r="6" spans="1:6" ht="77.5" x14ac:dyDescent="0.35">
      <c r="A6" s="259">
        <v>3</v>
      </c>
      <c r="B6" s="265" t="s">
        <v>237</v>
      </c>
      <c r="C6" s="266" t="s">
        <v>202</v>
      </c>
      <c r="D6" s="264">
        <v>18</v>
      </c>
      <c r="E6" s="132">
        <v>44.97</v>
      </c>
      <c r="F6" s="132">
        <f t="shared" si="0"/>
        <v>809.46</v>
      </c>
    </row>
    <row r="7" spans="1:6" ht="31" x14ac:dyDescent="0.35">
      <c r="A7" s="259">
        <v>4</v>
      </c>
      <c r="B7" s="263" t="s">
        <v>238</v>
      </c>
      <c r="C7" s="257" t="s">
        <v>202</v>
      </c>
      <c r="D7" s="264">
        <v>8</v>
      </c>
      <c r="E7" s="132">
        <v>13.23</v>
      </c>
      <c r="F7" s="132">
        <f t="shared" si="0"/>
        <v>105.84</v>
      </c>
    </row>
    <row r="8" spans="1:6" ht="46.5" x14ac:dyDescent="0.35">
      <c r="A8" s="259">
        <v>5</v>
      </c>
      <c r="B8" s="263" t="s">
        <v>239</v>
      </c>
      <c r="C8" s="257" t="s">
        <v>202</v>
      </c>
      <c r="D8" s="264">
        <v>8</v>
      </c>
      <c r="E8" s="132">
        <v>13.06</v>
      </c>
      <c r="F8" s="132">
        <f t="shared" si="0"/>
        <v>104.48</v>
      </c>
    </row>
    <row r="9" spans="1:6" ht="31" x14ac:dyDescent="0.35">
      <c r="A9" s="259">
        <v>6</v>
      </c>
      <c r="B9" s="265" t="s">
        <v>240</v>
      </c>
      <c r="C9" s="266" t="s">
        <v>202</v>
      </c>
      <c r="D9" s="267">
        <v>18</v>
      </c>
      <c r="E9" s="132">
        <v>50.71</v>
      </c>
      <c r="F9" s="132">
        <f t="shared" si="0"/>
        <v>912.78</v>
      </c>
    </row>
    <row r="10" spans="1:6" ht="46.5" x14ac:dyDescent="0.35">
      <c r="A10" s="259">
        <v>7</v>
      </c>
      <c r="B10" s="265" t="s">
        <v>241</v>
      </c>
      <c r="C10" s="266" t="s">
        <v>202</v>
      </c>
      <c r="D10" s="267">
        <v>18</v>
      </c>
      <c r="E10" s="132">
        <v>44.95</v>
      </c>
      <c r="F10" s="132">
        <f t="shared" si="0"/>
        <v>809.1</v>
      </c>
    </row>
    <row r="11" spans="1:6" ht="31" x14ac:dyDescent="0.35">
      <c r="A11" s="259">
        <v>8</v>
      </c>
      <c r="B11" s="263" t="s">
        <v>242</v>
      </c>
      <c r="C11" s="257" t="s">
        <v>202</v>
      </c>
      <c r="D11" s="267">
        <v>12</v>
      </c>
      <c r="E11" s="132">
        <v>5.47</v>
      </c>
      <c r="F11" s="132">
        <f t="shared" si="0"/>
        <v>65.64</v>
      </c>
    </row>
    <row r="12" spans="1:6" ht="31" x14ac:dyDescent="0.35">
      <c r="A12" s="259">
        <v>9</v>
      </c>
      <c r="B12" s="263" t="s">
        <v>105</v>
      </c>
      <c r="C12" s="257" t="s">
        <v>202</v>
      </c>
      <c r="D12" s="267">
        <v>36</v>
      </c>
      <c r="E12" s="132">
        <v>14.48</v>
      </c>
      <c r="F12" s="132">
        <f t="shared" si="0"/>
        <v>521.28</v>
      </c>
    </row>
    <row r="13" spans="1:6" ht="31" x14ac:dyDescent="0.35">
      <c r="A13" s="259">
        <v>10</v>
      </c>
      <c r="B13" s="268" t="s">
        <v>106</v>
      </c>
      <c r="C13" s="257" t="s">
        <v>243</v>
      </c>
      <c r="D13" s="267">
        <v>4</v>
      </c>
      <c r="E13" s="132">
        <v>29.76</v>
      </c>
      <c r="F13" s="132">
        <f t="shared" si="0"/>
        <v>119.04</v>
      </c>
    </row>
    <row r="14" spans="1:6" ht="62" x14ac:dyDescent="0.35">
      <c r="A14" s="259">
        <v>11</v>
      </c>
      <c r="B14" s="265" t="s">
        <v>184</v>
      </c>
      <c r="C14" s="266" t="s">
        <v>202</v>
      </c>
      <c r="D14" s="267">
        <v>20</v>
      </c>
      <c r="E14" s="132">
        <v>107.73</v>
      </c>
      <c r="F14" s="132">
        <f t="shared" si="0"/>
        <v>2154.6</v>
      </c>
    </row>
    <row r="15" spans="1:6" ht="62" x14ac:dyDescent="0.35">
      <c r="A15" s="259">
        <v>12</v>
      </c>
      <c r="B15" s="265" t="s">
        <v>244</v>
      </c>
      <c r="C15" s="266" t="s">
        <v>202</v>
      </c>
      <c r="D15" s="267">
        <v>20</v>
      </c>
      <c r="E15" s="132">
        <v>66.14</v>
      </c>
      <c r="F15" s="132">
        <f t="shared" si="0"/>
        <v>1322.8</v>
      </c>
    </row>
    <row r="16" spans="1:6" ht="46.5" x14ac:dyDescent="0.35">
      <c r="A16" s="259">
        <v>13</v>
      </c>
      <c r="B16" s="265" t="s">
        <v>245</v>
      </c>
      <c r="C16" s="266" t="s">
        <v>202</v>
      </c>
      <c r="D16" s="267">
        <v>36</v>
      </c>
      <c r="E16" s="132">
        <v>81.430000000000007</v>
      </c>
      <c r="F16" s="132">
        <f t="shared" si="0"/>
        <v>2931.4800000000005</v>
      </c>
    </row>
    <row r="17" spans="1:6" ht="62" x14ac:dyDescent="0.35">
      <c r="A17" s="259">
        <v>14</v>
      </c>
      <c r="B17" s="265" t="s">
        <v>246</v>
      </c>
      <c r="C17" s="266" t="s">
        <v>202</v>
      </c>
      <c r="D17" s="267">
        <v>56</v>
      </c>
      <c r="E17" s="132">
        <v>20.76</v>
      </c>
      <c r="F17" s="132">
        <f t="shared" si="0"/>
        <v>1162.5600000000002</v>
      </c>
    </row>
    <row r="18" spans="1:6" ht="31" x14ac:dyDescent="0.35">
      <c r="A18" s="259">
        <v>15</v>
      </c>
      <c r="B18" s="265" t="s">
        <v>183</v>
      </c>
      <c r="C18" s="266" t="s">
        <v>202</v>
      </c>
      <c r="D18" s="267">
        <v>18</v>
      </c>
      <c r="E18" s="132">
        <v>17.079999999999998</v>
      </c>
      <c r="F18" s="132">
        <f t="shared" si="0"/>
        <v>307.43999999999994</v>
      </c>
    </row>
    <row r="19" spans="1:6" ht="46.5" x14ac:dyDescent="0.35">
      <c r="A19" s="259">
        <v>16</v>
      </c>
      <c r="B19" s="265" t="s">
        <v>247</v>
      </c>
      <c r="C19" s="266" t="s">
        <v>202</v>
      </c>
      <c r="D19" s="267">
        <v>18</v>
      </c>
      <c r="E19" s="132">
        <v>34.18</v>
      </c>
      <c r="F19" s="132">
        <f t="shared" si="0"/>
        <v>615.24</v>
      </c>
    </row>
    <row r="20" spans="1:6" ht="46.5" x14ac:dyDescent="0.35">
      <c r="A20" s="259">
        <v>17</v>
      </c>
      <c r="B20" s="263" t="s">
        <v>248</v>
      </c>
      <c r="C20" s="257" t="s">
        <v>202</v>
      </c>
      <c r="D20" s="267">
        <v>18</v>
      </c>
      <c r="E20" s="132">
        <v>23.05</v>
      </c>
      <c r="F20" s="132">
        <f t="shared" si="0"/>
        <v>414.90000000000003</v>
      </c>
    </row>
    <row r="21" spans="1:6" ht="46.5" x14ac:dyDescent="0.35">
      <c r="A21" s="259">
        <v>18</v>
      </c>
      <c r="B21" s="265" t="s">
        <v>249</v>
      </c>
      <c r="C21" s="266" t="s">
        <v>202</v>
      </c>
      <c r="D21" s="267">
        <v>18</v>
      </c>
      <c r="E21" s="132">
        <v>40.5</v>
      </c>
      <c r="F21" s="132">
        <f t="shared" si="0"/>
        <v>729</v>
      </c>
    </row>
    <row r="22" spans="1:6" ht="31" x14ac:dyDescent="0.35">
      <c r="A22" s="259">
        <v>19</v>
      </c>
      <c r="B22" s="263" t="s">
        <v>250</v>
      </c>
      <c r="C22" s="257" t="s">
        <v>202</v>
      </c>
      <c r="D22" s="267">
        <v>18</v>
      </c>
      <c r="E22" s="132">
        <v>28.16</v>
      </c>
      <c r="F22" s="132">
        <f t="shared" si="0"/>
        <v>506.88</v>
      </c>
    </row>
    <row r="23" spans="1:6" ht="31" x14ac:dyDescent="0.35">
      <c r="A23" s="259">
        <v>20</v>
      </c>
      <c r="B23" s="263" t="s">
        <v>251</v>
      </c>
      <c r="C23" s="257" t="s">
        <v>202</v>
      </c>
      <c r="D23" s="267">
        <v>18</v>
      </c>
      <c r="E23" s="132">
        <v>26.97</v>
      </c>
      <c r="F23" s="132">
        <f t="shared" si="0"/>
        <v>485.46</v>
      </c>
    </row>
    <row r="24" spans="1:6" ht="31" x14ac:dyDescent="0.35">
      <c r="A24" s="259">
        <v>21</v>
      </c>
      <c r="B24" s="263" t="s">
        <v>252</v>
      </c>
      <c r="C24" s="257" t="s">
        <v>202</v>
      </c>
      <c r="D24" s="267">
        <v>8</v>
      </c>
      <c r="E24" s="132">
        <v>21.59</v>
      </c>
      <c r="F24" s="132">
        <f t="shared" si="0"/>
        <v>172.72</v>
      </c>
    </row>
    <row r="25" spans="1:6" ht="31" x14ac:dyDescent="0.35">
      <c r="A25" s="259">
        <v>22</v>
      </c>
      <c r="B25" s="269" t="s">
        <v>218</v>
      </c>
      <c r="C25" s="270" t="s">
        <v>202</v>
      </c>
      <c r="D25" s="267">
        <v>1</v>
      </c>
      <c r="E25" s="132">
        <v>62.5</v>
      </c>
      <c r="F25" s="132">
        <f t="shared" ref="F25:F30" si="1">D25*E25</f>
        <v>62.5</v>
      </c>
    </row>
    <row r="26" spans="1:6" ht="62" x14ac:dyDescent="0.35">
      <c r="A26" s="259">
        <v>23</v>
      </c>
      <c r="B26" s="271" t="s">
        <v>219</v>
      </c>
      <c r="C26" s="270" t="s">
        <v>202</v>
      </c>
      <c r="D26" s="267">
        <v>1</v>
      </c>
      <c r="E26" s="132">
        <v>273.66000000000003</v>
      </c>
      <c r="F26" s="132">
        <f t="shared" si="1"/>
        <v>273.66000000000003</v>
      </c>
    </row>
    <row r="27" spans="1:6" ht="62" x14ac:dyDescent="0.35">
      <c r="A27" s="259">
        <v>24</v>
      </c>
      <c r="B27" s="271" t="s">
        <v>220</v>
      </c>
      <c r="C27" s="270" t="s">
        <v>202</v>
      </c>
      <c r="D27" s="267">
        <v>1</v>
      </c>
      <c r="E27" s="132">
        <v>179.7</v>
      </c>
      <c r="F27" s="132">
        <f t="shared" si="1"/>
        <v>179.7</v>
      </c>
    </row>
    <row r="28" spans="1:6" ht="77.5" x14ac:dyDescent="0.35">
      <c r="A28" s="259">
        <v>25</v>
      </c>
      <c r="B28" s="271" t="s">
        <v>221</v>
      </c>
      <c r="C28" s="270" t="s">
        <v>202</v>
      </c>
      <c r="D28" s="267">
        <v>8</v>
      </c>
      <c r="E28" s="132">
        <v>38.85</v>
      </c>
      <c r="F28" s="132">
        <f t="shared" si="1"/>
        <v>310.8</v>
      </c>
    </row>
    <row r="29" spans="1:6" ht="31" x14ac:dyDescent="0.35">
      <c r="A29" s="259">
        <v>26</v>
      </c>
      <c r="B29" s="269" t="s">
        <v>222</v>
      </c>
      <c r="C29" s="270" t="s">
        <v>202</v>
      </c>
      <c r="D29" s="267">
        <v>1</v>
      </c>
      <c r="E29" s="132">
        <v>40.43</v>
      </c>
      <c r="F29" s="132">
        <f t="shared" si="1"/>
        <v>40.43</v>
      </c>
    </row>
    <row r="30" spans="1:6" x14ac:dyDescent="0.35">
      <c r="A30" s="259">
        <v>27</v>
      </c>
      <c r="B30" s="269" t="s">
        <v>223</v>
      </c>
      <c r="C30" s="270" t="s">
        <v>202</v>
      </c>
      <c r="D30" s="272">
        <v>1</v>
      </c>
      <c r="E30" s="132">
        <v>34.14</v>
      </c>
      <c r="F30" s="132">
        <f t="shared" si="1"/>
        <v>34.14</v>
      </c>
    </row>
    <row r="31" spans="1:6" ht="31" x14ac:dyDescent="0.35">
      <c r="A31" s="273">
        <v>28</v>
      </c>
      <c r="B31" s="269" t="s">
        <v>216</v>
      </c>
      <c r="C31" s="274" t="s">
        <v>202</v>
      </c>
      <c r="D31" s="267">
        <v>1</v>
      </c>
      <c r="E31" s="132">
        <v>212.33</v>
      </c>
      <c r="F31" s="132">
        <f>D31*E31</f>
        <v>212.33</v>
      </c>
    </row>
    <row r="32" spans="1:6" x14ac:dyDescent="0.35">
      <c r="A32" s="303">
        <v>29</v>
      </c>
      <c r="B32" s="308" t="s">
        <v>411</v>
      </c>
      <c r="C32" s="306" t="s">
        <v>202</v>
      </c>
      <c r="D32" s="307">
        <v>4</v>
      </c>
      <c r="E32" s="309">
        <v>175</v>
      </c>
      <c r="F32" s="310">
        <f>D32*E32</f>
        <v>700</v>
      </c>
    </row>
    <row r="33" spans="1:6" x14ac:dyDescent="0.35">
      <c r="A33" s="275"/>
      <c r="B33" s="276"/>
      <c r="C33" s="277"/>
      <c r="D33" s="278"/>
      <c r="E33" s="279"/>
      <c r="F33" s="134">
        <f>SUM(F4:F32)</f>
        <v>16452.579999999994</v>
      </c>
    </row>
    <row r="34" spans="1:6" x14ac:dyDescent="0.35">
      <c r="A34" s="448" t="s">
        <v>310</v>
      </c>
      <c r="B34" s="449"/>
      <c r="C34" s="449"/>
      <c r="D34" s="449"/>
      <c r="E34" s="450"/>
      <c r="F34" s="126">
        <f>F33/2</f>
        <v>8226.2899999999972</v>
      </c>
    </row>
    <row r="35" spans="1:6" x14ac:dyDescent="0.35">
      <c r="A35" s="448" t="s">
        <v>304</v>
      </c>
      <c r="B35" s="449"/>
      <c r="C35" s="449"/>
      <c r="D35" s="449"/>
      <c r="E35" s="450"/>
      <c r="F35" s="126">
        <f>F34/12</f>
        <v>685.52416666666647</v>
      </c>
    </row>
    <row r="36" spans="1:6" x14ac:dyDescent="0.35">
      <c r="A36" s="451" t="s">
        <v>305</v>
      </c>
      <c r="B36" s="452"/>
      <c r="C36" s="452"/>
      <c r="D36" s="452"/>
      <c r="E36" s="453"/>
      <c r="F36" s="280">
        <f>F35/8</f>
        <v>85.690520833333309</v>
      </c>
    </row>
    <row r="40" spans="1:6" ht="23.25" customHeight="1" x14ac:dyDescent="0.35">
      <c r="A40" s="442" t="s">
        <v>308</v>
      </c>
      <c r="B40" s="442"/>
      <c r="C40" s="442"/>
      <c r="D40" s="442"/>
      <c r="E40" s="442"/>
      <c r="F40" s="442"/>
    </row>
    <row r="41" spans="1:6" ht="31" x14ac:dyDescent="0.35">
      <c r="A41" s="443" t="s">
        <v>310</v>
      </c>
      <c r="B41" s="443"/>
      <c r="C41" s="443"/>
      <c r="D41" s="281" t="s">
        <v>254</v>
      </c>
      <c r="E41" s="444" t="s">
        <v>226</v>
      </c>
      <c r="F41" s="444" t="s">
        <v>227</v>
      </c>
    </row>
    <row r="42" spans="1:6" ht="31" x14ac:dyDescent="0.35">
      <c r="A42" s="262" t="s">
        <v>54</v>
      </c>
      <c r="B42" s="262" t="s">
        <v>104</v>
      </c>
      <c r="C42" s="262" t="s">
        <v>99</v>
      </c>
      <c r="D42" s="281" t="s">
        <v>190</v>
      </c>
      <c r="E42" s="444"/>
      <c r="F42" s="444"/>
    </row>
    <row r="43" spans="1:6" ht="62" x14ac:dyDescent="0.35">
      <c r="A43" s="259">
        <v>1</v>
      </c>
      <c r="B43" s="263" t="s">
        <v>235</v>
      </c>
      <c r="C43" s="257" t="s">
        <v>202</v>
      </c>
      <c r="D43" s="266">
        <v>2</v>
      </c>
      <c r="E43" s="282">
        <v>14.47</v>
      </c>
      <c r="F43" s="282">
        <f>D43*E43</f>
        <v>28.94</v>
      </c>
    </row>
    <row r="44" spans="1:6" ht="31" x14ac:dyDescent="0.35">
      <c r="A44" s="259">
        <v>2</v>
      </c>
      <c r="B44" s="263" t="s">
        <v>236</v>
      </c>
      <c r="C44" s="257" t="s">
        <v>202</v>
      </c>
      <c r="D44" s="266">
        <v>2</v>
      </c>
      <c r="E44" s="282">
        <v>9.8000000000000007</v>
      </c>
      <c r="F44" s="282">
        <f t="shared" ref="F44:F64" si="2">D44*E44</f>
        <v>19.600000000000001</v>
      </c>
    </row>
    <row r="45" spans="1:6" ht="93" x14ac:dyDescent="0.35">
      <c r="A45" s="259">
        <v>3</v>
      </c>
      <c r="B45" s="265" t="s">
        <v>255</v>
      </c>
      <c r="C45" s="257" t="s">
        <v>202</v>
      </c>
      <c r="D45" s="266">
        <v>2</v>
      </c>
      <c r="E45" s="282">
        <v>44.97</v>
      </c>
      <c r="F45" s="282">
        <f t="shared" si="2"/>
        <v>89.94</v>
      </c>
    </row>
    <row r="46" spans="1:6" ht="31" x14ac:dyDescent="0.35">
      <c r="A46" s="259">
        <v>4</v>
      </c>
      <c r="B46" s="263" t="s">
        <v>238</v>
      </c>
      <c r="C46" s="257" t="s">
        <v>202</v>
      </c>
      <c r="D46" s="266">
        <v>2</v>
      </c>
      <c r="E46" s="282">
        <v>13.23</v>
      </c>
      <c r="F46" s="282">
        <f t="shared" si="2"/>
        <v>26.46</v>
      </c>
    </row>
    <row r="47" spans="1:6" ht="46.5" x14ac:dyDescent="0.35">
      <c r="A47" s="259">
        <v>5</v>
      </c>
      <c r="B47" s="263" t="s">
        <v>239</v>
      </c>
      <c r="C47" s="257" t="s">
        <v>202</v>
      </c>
      <c r="D47" s="266">
        <v>2</v>
      </c>
      <c r="E47" s="282">
        <v>13.06</v>
      </c>
      <c r="F47" s="282">
        <f t="shared" si="2"/>
        <v>26.12</v>
      </c>
    </row>
    <row r="48" spans="1:6" ht="31" x14ac:dyDescent="0.35">
      <c r="A48" s="259">
        <v>6</v>
      </c>
      <c r="B48" s="265" t="s">
        <v>256</v>
      </c>
      <c r="C48" s="257" t="s">
        <v>202</v>
      </c>
      <c r="D48" s="266">
        <v>4</v>
      </c>
      <c r="E48" s="282">
        <v>50.71</v>
      </c>
      <c r="F48" s="282">
        <f t="shared" si="2"/>
        <v>202.84</v>
      </c>
    </row>
    <row r="49" spans="1:6" ht="46.5" x14ac:dyDescent="0.35">
      <c r="A49" s="259">
        <v>7</v>
      </c>
      <c r="B49" s="265" t="s">
        <v>241</v>
      </c>
      <c r="C49" s="266" t="s">
        <v>202</v>
      </c>
      <c r="D49" s="266">
        <v>4</v>
      </c>
      <c r="E49" s="282">
        <v>44.95</v>
      </c>
      <c r="F49" s="282">
        <f t="shared" si="2"/>
        <v>179.8</v>
      </c>
    </row>
    <row r="50" spans="1:6" ht="31" x14ac:dyDescent="0.35">
      <c r="A50" s="259">
        <v>8</v>
      </c>
      <c r="B50" s="263" t="s">
        <v>242</v>
      </c>
      <c r="C50" s="257" t="s">
        <v>202</v>
      </c>
      <c r="D50" s="266">
        <v>2</v>
      </c>
      <c r="E50" s="282">
        <v>5.47</v>
      </c>
      <c r="F50" s="282">
        <f t="shared" si="2"/>
        <v>10.94</v>
      </c>
    </row>
    <row r="51" spans="1:6" ht="31" x14ac:dyDescent="0.35">
      <c r="A51" s="259">
        <v>9</v>
      </c>
      <c r="B51" s="263" t="s">
        <v>105</v>
      </c>
      <c r="C51" s="257" t="s">
        <v>202</v>
      </c>
      <c r="D51" s="266">
        <v>4</v>
      </c>
      <c r="E51" s="282">
        <v>14.48</v>
      </c>
      <c r="F51" s="282">
        <f t="shared" si="2"/>
        <v>57.92</v>
      </c>
    </row>
    <row r="52" spans="1:6" ht="62" x14ac:dyDescent="0.35">
      <c r="A52" s="259">
        <v>10</v>
      </c>
      <c r="B52" s="263" t="s">
        <v>184</v>
      </c>
      <c r="C52" s="257" t="s">
        <v>202</v>
      </c>
      <c r="D52" s="266">
        <v>2</v>
      </c>
      <c r="E52" s="282">
        <v>107.73</v>
      </c>
      <c r="F52" s="282">
        <f t="shared" si="2"/>
        <v>215.46</v>
      </c>
    </row>
    <row r="53" spans="1:6" ht="62" x14ac:dyDescent="0.35">
      <c r="A53" s="259">
        <v>11</v>
      </c>
      <c r="B53" s="263" t="s">
        <v>244</v>
      </c>
      <c r="C53" s="257" t="s">
        <v>202</v>
      </c>
      <c r="D53" s="266">
        <v>2</v>
      </c>
      <c r="E53" s="282">
        <v>66.14</v>
      </c>
      <c r="F53" s="282">
        <f t="shared" si="2"/>
        <v>132.28</v>
      </c>
    </row>
    <row r="54" spans="1:6" ht="62" x14ac:dyDescent="0.35">
      <c r="A54" s="259">
        <v>12</v>
      </c>
      <c r="B54" s="263" t="s">
        <v>257</v>
      </c>
      <c r="C54" s="257" t="s">
        <v>202</v>
      </c>
      <c r="D54" s="266">
        <v>4</v>
      </c>
      <c r="E54" s="282">
        <v>25.44</v>
      </c>
      <c r="F54" s="282">
        <f t="shared" si="2"/>
        <v>101.76</v>
      </c>
    </row>
    <row r="55" spans="1:6" ht="31" x14ac:dyDescent="0.35">
      <c r="A55" s="259">
        <v>13</v>
      </c>
      <c r="B55" s="263" t="s">
        <v>183</v>
      </c>
      <c r="C55" s="257" t="s">
        <v>202</v>
      </c>
      <c r="D55" s="266">
        <v>2</v>
      </c>
      <c r="E55" s="282">
        <v>17.079999999999998</v>
      </c>
      <c r="F55" s="282">
        <f t="shared" si="2"/>
        <v>34.159999999999997</v>
      </c>
    </row>
    <row r="56" spans="1:6" ht="46.5" x14ac:dyDescent="0.35">
      <c r="A56" s="259">
        <v>14</v>
      </c>
      <c r="B56" s="263" t="s">
        <v>247</v>
      </c>
      <c r="C56" s="257" t="s">
        <v>202</v>
      </c>
      <c r="D56" s="266">
        <v>2</v>
      </c>
      <c r="E56" s="282">
        <v>34.18</v>
      </c>
      <c r="F56" s="282">
        <f t="shared" si="2"/>
        <v>68.36</v>
      </c>
    </row>
    <row r="57" spans="1:6" ht="46.5" x14ac:dyDescent="0.35">
      <c r="A57" s="259">
        <v>15</v>
      </c>
      <c r="B57" s="263" t="s">
        <v>248</v>
      </c>
      <c r="C57" s="266" t="s">
        <v>202</v>
      </c>
      <c r="D57" s="266">
        <v>2</v>
      </c>
      <c r="E57" s="282">
        <v>23.05</v>
      </c>
      <c r="F57" s="282">
        <f t="shared" si="2"/>
        <v>46.1</v>
      </c>
    </row>
    <row r="58" spans="1:6" ht="46.5" x14ac:dyDescent="0.35">
      <c r="A58" s="259">
        <v>16</v>
      </c>
      <c r="B58" s="265" t="s">
        <v>249</v>
      </c>
      <c r="C58" s="257" t="s">
        <v>202</v>
      </c>
      <c r="D58" s="266">
        <v>2</v>
      </c>
      <c r="E58" s="282">
        <v>40.5</v>
      </c>
      <c r="F58" s="282">
        <f>D58*E58</f>
        <v>81</v>
      </c>
    </row>
    <row r="59" spans="1:6" ht="31" x14ac:dyDescent="0.35">
      <c r="A59" s="259">
        <v>17</v>
      </c>
      <c r="B59" s="263" t="s">
        <v>250</v>
      </c>
      <c r="C59" s="257" t="s">
        <v>202</v>
      </c>
      <c r="D59" s="266">
        <v>2</v>
      </c>
      <c r="E59" s="282">
        <v>28.16</v>
      </c>
      <c r="F59" s="282">
        <f t="shared" si="2"/>
        <v>56.32</v>
      </c>
    </row>
    <row r="60" spans="1:6" ht="31" x14ac:dyDescent="0.35">
      <c r="A60" s="259">
        <v>18</v>
      </c>
      <c r="B60" s="263" t="s">
        <v>251</v>
      </c>
      <c r="C60" s="257" t="s">
        <v>202</v>
      </c>
      <c r="D60" s="266">
        <v>2</v>
      </c>
      <c r="E60" s="282">
        <v>26.97</v>
      </c>
      <c r="F60" s="282">
        <f t="shared" si="2"/>
        <v>53.94</v>
      </c>
    </row>
    <row r="61" spans="1:6" ht="31" x14ac:dyDescent="0.35">
      <c r="A61" s="259">
        <v>19</v>
      </c>
      <c r="B61" s="263" t="s">
        <v>252</v>
      </c>
      <c r="C61" s="257" t="s">
        <v>202</v>
      </c>
      <c r="D61" s="266">
        <v>1</v>
      </c>
      <c r="E61" s="282">
        <v>21.59</v>
      </c>
      <c r="F61" s="282">
        <f t="shared" si="2"/>
        <v>21.59</v>
      </c>
    </row>
    <row r="62" spans="1:6" ht="42.75" customHeight="1" x14ac:dyDescent="0.35">
      <c r="A62" s="259">
        <v>20</v>
      </c>
      <c r="B62" s="269" t="s">
        <v>216</v>
      </c>
      <c r="C62" s="274" t="s">
        <v>202</v>
      </c>
      <c r="D62" s="267">
        <v>1</v>
      </c>
      <c r="E62" s="283">
        <v>212.49</v>
      </c>
      <c r="F62" s="283">
        <f t="shared" si="2"/>
        <v>212.49</v>
      </c>
    </row>
    <row r="63" spans="1:6" ht="77.25" customHeight="1" x14ac:dyDescent="0.35">
      <c r="A63" s="259">
        <v>21</v>
      </c>
      <c r="B63" s="271" t="s">
        <v>220</v>
      </c>
      <c r="C63" s="270" t="s">
        <v>202</v>
      </c>
      <c r="D63" s="267">
        <v>1</v>
      </c>
      <c r="E63" s="283">
        <v>179.7</v>
      </c>
      <c r="F63" s="283">
        <f t="shared" si="2"/>
        <v>179.7</v>
      </c>
    </row>
    <row r="64" spans="1:6" ht="87" customHeight="1" x14ac:dyDescent="0.35">
      <c r="A64" s="259">
        <v>22</v>
      </c>
      <c r="B64" s="271" t="s">
        <v>221</v>
      </c>
      <c r="C64" s="270" t="s">
        <v>202</v>
      </c>
      <c r="D64" s="267">
        <v>1</v>
      </c>
      <c r="E64" s="283">
        <v>38.85</v>
      </c>
      <c r="F64" s="283">
        <f t="shared" si="2"/>
        <v>38.85</v>
      </c>
    </row>
    <row r="65" spans="1:6" x14ac:dyDescent="0.35">
      <c r="A65" s="445"/>
      <c r="B65" s="445"/>
      <c r="C65" s="445"/>
      <c r="D65" s="445"/>
      <c r="E65" s="445"/>
      <c r="F65" s="284">
        <f>SUM(F43:F64)</f>
        <v>1884.57</v>
      </c>
    </row>
    <row r="66" spans="1:6" x14ac:dyDescent="0.35">
      <c r="A66" s="440" t="s">
        <v>310</v>
      </c>
      <c r="B66" s="440"/>
      <c r="C66" s="440"/>
      <c r="D66" s="440"/>
      <c r="E66" s="440"/>
      <c r="F66" s="126">
        <f>F65/2</f>
        <v>942.28499999999997</v>
      </c>
    </row>
    <row r="67" spans="1:6" x14ac:dyDescent="0.35">
      <c r="A67" s="440" t="s">
        <v>304</v>
      </c>
      <c r="B67" s="440"/>
      <c r="C67" s="440"/>
      <c r="D67" s="440"/>
      <c r="E67" s="440"/>
      <c r="F67" s="126">
        <f>F66/12</f>
        <v>78.523749999999993</v>
      </c>
    </row>
    <row r="68" spans="1:6" x14ac:dyDescent="0.35">
      <c r="A68" s="441" t="s">
        <v>311</v>
      </c>
      <c r="B68" s="441"/>
      <c r="C68" s="441"/>
      <c r="D68" s="441"/>
      <c r="E68" s="441"/>
      <c r="F68" s="280">
        <f>F67/1</f>
        <v>78.523749999999993</v>
      </c>
    </row>
    <row r="72" spans="1:6" x14ac:dyDescent="0.35">
      <c r="A72" s="442" t="s">
        <v>309</v>
      </c>
      <c r="B72" s="442"/>
      <c r="C72" s="442"/>
      <c r="D72" s="442"/>
      <c r="E72" s="442"/>
      <c r="F72" s="442"/>
    </row>
    <row r="73" spans="1:6" ht="31" x14ac:dyDescent="0.35">
      <c r="A73" s="443" t="s">
        <v>310</v>
      </c>
      <c r="B73" s="443"/>
      <c r="C73" s="443"/>
      <c r="D73" s="281" t="s">
        <v>254</v>
      </c>
      <c r="E73" s="444" t="s">
        <v>226</v>
      </c>
      <c r="F73" s="444" t="s">
        <v>227</v>
      </c>
    </row>
    <row r="74" spans="1:6" ht="31" x14ac:dyDescent="0.35">
      <c r="A74" s="262" t="s">
        <v>54</v>
      </c>
      <c r="B74" s="262" t="s">
        <v>104</v>
      </c>
      <c r="C74" s="262" t="s">
        <v>99</v>
      </c>
      <c r="D74" s="281" t="s">
        <v>189</v>
      </c>
      <c r="E74" s="444"/>
      <c r="F74" s="444"/>
    </row>
    <row r="75" spans="1:6" ht="62" x14ac:dyDescent="0.35">
      <c r="A75" s="259">
        <v>1</v>
      </c>
      <c r="B75" s="263" t="s">
        <v>235</v>
      </c>
      <c r="C75" s="257" t="s">
        <v>202</v>
      </c>
      <c r="D75" s="266">
        <v>3</v>
      </c>
      <c r="E75" s="282">
        <v>14.47</v>
      </c>
      <c r="F75" s="282">
        <f>D75*E75</f>
        <v>43.410000000000004</v>
      </c>
    </row>
    <row r="76" spans="1:6" ht="31" x14ac:dyDescent="0.35">
      <c r="A76" s="259">
        <v>2</v>
      </c>
      <c r="B76" s="263" t="s">
        <v>242</v>
      </c>
      <c r="C76" s="257" t="s">
        <v>202</v>
      </c>
      <c r="D76" s="266">
        <v>2</v>
      </c>
      <c r="E76" s="282">
        <v>5.47</v>
      </c>
      <c r="F76" s="282">
        <f t="shared" ref="F76:F85" si="3">D76*E76</f>
        <v>10.94</v>
      </c>
    </row>
    <row r="77" spans="1:6" ht="31" x14ac:dyDescent="0.35">
      <c r="A77" s="259">
        <v>3</v>
      </c>
      <c r="B77" s="263" t="s">
        <v>105</v>
      </c>
      <c r="C77" s="257" t="s">
        <v>202</v>
      </c>
      <c r="D77" s="266">
        <v>4</v>
      </c>
      <c r="E77" s="282">
        <v>14.48</v>
      </c>
      <c r="F77" s="282">
        <f t="shared" si="3"/>
        <v>57.92</v>
      </c>
    </row>
    <row r="78" spans="1:6" ht="31" x14ac:dyDescent="0.35">
      <c r="A78" s="259">
        <v>4</v>
      </c>
      <c r="B78" s="268" t="s">
        <v>106</v>
      </c>
      <c r="C78" s="257" t="s">
        <v>243</v>
      </c>
      <c r="D78" s="266">
        <v>2</v>
      </c>
      <c r="E78" s="282">
        <v>29.76</v>
      </c>
      <c r="F78" s="282">
        <f t="shared" si="3"/>
        <v>59.52</v>
      </c>
    </row>
    <row r="79" spans="1:6" ht="62" x14ac:dyDescent="0.35">
      <c r="A79" s="259">
        <v>5</v>
      </c>
      <c r="B79" s="263" t="s">
        <v>184</v>
      </c>
      <c r="C79" s="257" t="s">
        <v>202</v>
      </c>
      <c r="D79" s="266">
        <v>2</v>
      </c>
      <c r="E79" s="282">
        <v>107.73</v>
      </c>
      <c r="F79" s="282">
        <f t="shared" si="3"/>
        <v>215.46</v>
      </c>
    </row>
    <row r="80" spans="1:6" ht="62" x14ac:dyDescent="0.35">
      <c r="A80" s="259">
        <v>6</v>
      </c>
      <c r="B80" s="263" t="s">
        <v>244</v>
      </c>
      <c r="C80" s="257" t="s">
        <v>202</v>
      </c>
      <c r="D80" s="266">
        <v>2</v>
      </c>
      <c r="E80" s="282">
        <v>66.14</v>
      </c>
      <c r="F80" s="282">
        <f t="shared" si="3"/>
        <v>132.28</v>
      </c>
    </row>
    <row r="81" spans="1:6" ht="31" x14ac:dyDescent="0.35">
      <c r="A81" s="259">
        <v>7</v>
      </c>
      <c r="B81" s="263" t="s">
        <v>183</v>
      </c>
      <c r="C81" s="257" t="s">
        <v>202</v>
      </c>
      <c r="D81" s="266">
        <v>2</v>
      </c>
      <c r="E81" s="282">
        <v>17.079999999999998</v>
      </c>
      <c r="F81" s="282">
        <f t="shared" si="3"/>
        <v>34.159999999999997</v>
      </c>
    </row>
    <row r="82" spans="1:6" ht="46.5" x14ac:dyDescent="0.35">
      <c r="A82" s="259">
        <v>8</v>
      </c>
      <c r="B82" s="263" t="s">
        <v>248</v>
      </c>
      <c r="C82" s="266" t="s">
        <v>202</v>
      </c>
      <c r="D82" s="266">
        <v>4</v>
      </c>
      <c r="E82" s="282">
        <v>23.05</v>
      </c>
      <c r="F82" s="282">
        <f t="shared" si="3"/>
        <v>92.2</v>
      </c>
    </row>
    <row r="83" spans="1:6" ht="31" x14ac:dyDescent="0.35">
      <c r="A83" s="259">
        <v>9</v>
      </c>
      <c r="B83" s="263" t="s">
        <v>250</v>
      </c>
      <c r="C83" s="257" t="s">
        <v>202</v>
      </c>
      <c r="D83" s="266">
        <v>2</v>
      </c>
      <c r="E83" s="282">
        <v>28.16</v>
      </c>
      <c r="F83" s="282">
        <f t="shared" si="3"/>
        <v>56.32</v>
      </c>
    </row>
    <row r="84" spans="1:6" ht="77.25" customHeight="1" x14ac:dyDescent="0.35">
      <c r="A84" s="273">
        <v>10</v>
      </c>
      <c r="B84" s="269" t="s">
        <v>216</v>
      </c>
      <c r="C84" s="274" t="s">
        <v>202</v>
      </c>
      <c r="D84" s="267">
        <v>1</v>
      </c>
      <c r="E84" s="283">
        <v>212.49</v>
      </c>
      <c r="F84" s="283">
        <f t="shared" si="3"/>
        <v>212.49</v>
      </c>
    </row>
    <row r="85" spans="1:6" ht="77.5" x14ac:dyDescent="0.35">
      <c r="A85" s="273">
        <v>11</v>
      </c>
      <c r="B85" s="271" t="s">
        <v>221</v>
      </c>
      <c r="C85" s="270" t="s">
        <v>202</v>
      </c>
      <c r="D85" s="267">
        <v>1</v>
      </c>
      <c r="E85" s="283">
        <v>38.85</v>
      </c>
      <c r="F85" s="283">
        <f t="shared" si="3"/>
        <v>38.85</v>
      </c>
    </row>
    <row r="86" spans="1:6" x14ac:dyDescent="0.35">
      <c r="A86" s="445"/>
      <c r="B86" s="445"/>
      <c r="C86" s="445"/>
      <c r="D86" s="445"/>
      <c r="E86" s="445"/>
      <c r="F86" s="284">
        <f>SUM(F75:F85)</f>
        <v>953.55000000000007</v>
      </c>
    </row>
    <row r="87" spans="1:6" x14ac:dyDescent="0.35">
      <c r="A87" s="440" t="s">
        <v>310</v>
      </c>
      <c r="B87" s="440"/>
      <c r="C87" s="440"/>
      <c r="D87" s="440"/>
      <c r="E87" s="440"/>
      <c r="F87" s="126">
        <f>F86/2</f>
        <v>476.77500000000003</v>
      </c>
    </row>
    <row r="88" spans="1:6" x14ac:dyDescent="0.35">
      <c r="A88" s="440" t="s">
        <v>304</v>
      </c>
      <c r="B88" s="440"/>
      <c r="C88" s="440"/>
      <c r="D88" s="440"/>
      <c r="E88" s="440"/>
      <c r="F88" s="126">
        <f>F87/12</f>
        <v>39.731250000000003</v>
      </c>
    </row>
    <row r="89" spans="1:6" x14ac:dyDescent="0.35">
      <c r="A89" s="441" t="s">
        <v>311</v>
      </c>
      <c r="B89" s="441"/>
      <c r="C89" s="441"/>
      <c r="D89" s="441"/>
      <c r="E89" s="441"/>
      <c r="F89" s="280">
        <f>F88/1</f>
        <v>39.731250000000003</v>
      </c>
    </row>
    <row r="92" spans="1:6" x14ac:dyDescent="0.35">
      <c r="A92" s="442" t="s">
        <v>262</v>
      </c>
      <c r="B92" s="442"/>
      <c r="C92" s="442"/>
      <c r="D92" s="442"/>
      <c r="E92" s="442"/>
      <c r="F92" s="442"/>
    </row>
    <row r="93" spans="1:6" ht="46.5" x14ac:dyDescent="0.35">
      <c r="A93" s="262" t="s">
        <v>54</v>
      </c>
      <c r="B93" s="262" t="s">
        <v>104</v>
      </c>
      <c r="C93" s="262" t="s">
        <v>99</v>
      </c>
      <c r="D93" s="285" t="s">
        <v>261</v>
      </c>
      <c r="E93" s="262" t="s">
        <v>226</v>
      </c>
      <c r="F93" s="262" t="s">
        <v>227</v>
      </c>
    </row>
    <row r="94" spans="1:6" ht="62" x14ac:dyDescent="0.35">
      <c r="A94" s="259">
        <v>1</v>
      </c>
      <c r="B94" s="263" t="s">
        <v>235</v>
      </c>
      <c r="C94" s="257" t="s">
        <v>202</v>
      </c>
      <c r="D94" s="266">
        <v>6</v>
      </c>
      <c r="E94" s="282">
        <v>14.47</v>
      </c>
      <c r="F94" s="282">
        <f>D94*E94</f>
        <v>86.820000000000007</v>
      </c>
    </row>
    <row r="95" spans="1:6" ht="31" x14ac:dyDescent="0.35">
      <c r="A95" s="259">
        <v>2</v>
      </c>
      <c r="B95" s="263" t="s">
        <v>236</v>
      </c>
      <c r="C95" s="257" t="s">
        <v>202</v>
      </c>
      <c r="D95" s="266">
        <v>4</v>
      </c>
      <c r="E95" s="282">
        <v>9.8000000000000007</v>
      </c>
      <c r="F95" s="282">
        <f t="shared" ref="F95:F112" si="4">D95*E95</f>
        <v>39.200000000000003</v>
      </c>
    </row>
    <row r="96" spans="1:6" ht="77.5" x14ac:dyDescent="0.35">
      <c r="A96" s="259">
        <v>3</v>
      </c>
      <c r="B96" s="263" t="s">
        <v>237</v>
      </c>
      <c r="C96" s="257" t="s">
        <v>202</v>
      </c>
      <c r="D96" s="266">
        <v>8</v>
      </c>
      <c r="E96" s="282">
        <v>44.97</v>
      </c>
      <c r="F96" s="282">
        <f t="shared" si="4"/>
        <v>359.76</v>
      </c>
    </row>
    <row r="97" spans="1:6" ht="31" x14ac:dyDescent="0.35">
      <c r="A97" s="259">
        <v>4</v>
      </c>
      <c r="B97" s="263" t="s">
        <v>238</v>
      </c>
      <c r="C97" s="257" t="s">
        <v>202</v>
      </c>
      <c r="D97" s="266">
        <v>4</v>
      </c>
      <c r="E97" s="282">
        <v>13.23</v>
      </c>
      <c r="F97" s="282">
        <f t="shared" si="4"/>
        <v>52.92</v>
      </c>
    </row>
    <row r="98" spans="1:6" ht="46.5" x14ac:dyDescent="0.35">
      <c r="A98" s="259">
        <v>5</v>
      </c>
      <c r="B98" s="263" t="s">
        <v>239</v>
      </c>
      <c r="C98" s="257" t="s">
        <v>202</v>
      </c>
      <c r="D98" s="266">
        <v>4</v>
      </c>
      <c r="E98" s="282">
        <v>13.06</v>
      </c>
      <c r="F98" s="282">
        <f t="shared" si="4"/>
        <v>52.24</v>
      </c>
    </row>
    <row r="99" spans="1:6" ht="31" x14ac:dyDescent="0.35">
      <c r="A99" s="259">
        <v>6</v>
      </c>
      <c r="B99" s="263" t="s">
        <v>259</v>
      </c>
      <c r="C99" s="257" t="s">
        <v>202</v>
      </c>
      <c r="D99" s="266">
        <v>16</v>
      </c>
      <c r="E99" s="282">
        <v>50.71</v>
      </c>
      <c r="F99" s="282">
        <f t="shared" si="4"/>
        <v>811.36</v>
      </c>
    </row>
    <row r="100" spans="1:6" ht="46.5" x14ac:dyDescent="0.35">
      <c r="A100" s="259">
        <v>7</v>
      </c>
      <c r="B100" s="263" t="s">
        <v>241</v>
      </c>
      <c r="C100" s="257" t="s">
        <v>202</v>
      </c>
      <c r="D100" s="266">
        <v>20</v>
      </c>
      <c r="E100" s="282">
        <v>44.95</v>
      </c>
      <c r="F100" s="282">
        <f t="shared" si="4"/>
        <v>899</v>
      </c>
    </row>
    <row r="101" spans="1:6" ht="31" x14ac:dyDescent="0.35">
      <c r="A101" s="259">
        <v>8</v>
      </c>
      <c r="B101" s="263" t="s">
        <v>242</v>
      </c>
      <c r="C101" s="257" t="s">
        <v>202</v>
      </c>
      <c r="D101" s="266">
        <v>4</v>
      </c>
      <c r="E101" s="282">
        <v>5.47</v>
      </c>
      <c r="F101" s="282">
        <f t="shared" si="4"/>
        <v>21.88</v>
      </c>
    </row>
    <row r="102" spans="1:6" ht="31" x14ac:dyDescent="0.35">
      <c r="A102" s="259">
        <v>9</v>
      </c>
      <c r="B102" s="263" t="s">
        <v>105</v>
      </c>
      <c r="C102" s="257" t="s">
        <v>202</v>
      </c>
      <c r="D102" s="266">
        <v>6</v>
      </c>
      <c r="E102" s="282">
        <v>14.48</v>
      </c>
      <c r="F102" s="282">
        <f t="shared" si="4"/>
        <v>86.88</v>
      </c>
    </row>
    <row r="103" spans="1:6" ht="31" x14ac:dyDescent="0.35">
      <c r="A103" s="259">
        <v>10</v>
      </c>
      <c r="B103" s="268" t="s">
        <v>106</v>
      </c>
      <c r="C103" s="257" t="s">
        <v>243</v>
      </c>
      <c r="D103" s="266">
        <v>4</v>
      </c>
      <c r="E103" s="282">
        <v>29.76</v>
      </c>
      <c r="F103" s="282">
        <f t="shared" si="4"/>
        <v>119.04</v>
      </c>
    </row>
    <row r="104" spans="1:6" ht="62" x14ac:dyDescent="0.35">
      <c r="A104" s="259">
        <v>11</v>
      </c>
      <c r="B104" s="263" t="s">
        <v>184</v>
      </c>
      <c r="C104" s="257" t="s">
        <v>202</v>
      </c>
      <c r="D104" s="266">
        <v>4</v>
      </c>
      <c r="E104" s="282">
        <v>107.73</v>
      </c>
      <c r="F104" s="282">
        <f t="shared" si="4"/>
        <v>430.92</v>
      </c>
    </row>
    <row r="105" spans="1:6" ht="62" x14ac:dyDescent="0.35">
      <c r="A105" s="259">
        <v>12</v>
      </c>
      <c r="B105" s="263" t="s">
        <v>260</v>
      </c>
      <c r="C105" s="257" t="s">
        <v>202</v>
      </c>
      <c r="D105" s="266">
        <v>4</v>
      </c>
      <c r="E105" s="282">
        <v>66.14</v>
      </c>
      <c r="F105" s="282">
        <f t="shared" si="4"/>
        <v>264.56</v>
      </c>
    </row>
    <row r="106" spans="1:6" ht="62" x14ac:dyDescent="0.35">
      <c r="A106" s="259">
        <v>13</v>
      </c>
      <c r="B106" s="263" t="s">
        <v>257</v>
      </c>
      <c r="C106" s="257" t="s">
        <v>202</v>
      </c>
      <c r="D106" s="266">
        <v>30</v>
      </c>
      <c r="E106" s="282">
        <v>25.44</v>
      </c>
      <c r="F106" s="282">
        <f t="shared" si="4"/>
        <v>763.2</v>
      </c>
    </row>
    <row r="107" spans="1:6" ht="31" x14ac:dyDescent="0.35">
      <c r="A107" s="259">
        <v>14</v>
      </c>
      <c r="B107" s="263" t="s">
        <v>183</v>
      </c>
      <c r="C107" s="257" t="s">
        <v>202</v>
      </c>
      <c r="D107" s="266">
        <v>4</v>
      </c>
      <c r="E107" s="282">
        <v>17.079999999999998</v>
      </c>
      <c r="F107" s="282">
        <f t="shared" si="4"/>
        <v>68.319999999999993</v>
      </c>
    </row>
    <row r="108" spans="1:6" ht="46.5" x14ac:dyDescent="0.35">
      <c r="A108" s="259">
        <v>15</v>
      </c>
      <c r="B108" s="263" t="s">
        <v>248</v>
      </c>
      <c r="C108" s="257" t="s">
        <v>202</v>
      </c>
      <c r="D108" s="266">
        <v>6</v>
      </c>
      <c r="E108" s="282">
        <v>23.05</v>
      </c>
      <c r="F108" s="282">
        <f t="shared" si="4"/>
        <v>138.30000000000001</v>
      </c>
    </row>
    <row r="109" spans="1:6" ht="46.5" x14ac:dyDescent="0.35">
      <c r="A109" s="259">
        <v>16</v>
      </c>
      <c r="B109" s="263" t="s">
        <v>249</v>
      </c>
      <c r="C109" s="257" t="s">
        <v>202</v>
      </c>
      <c r="D109" s="266">
        <v>8</v>
      </c>
      <c r="E109" s="282">
        <v>40.5</v>
      </c>
      <c r="F109" s="282">
        <f t="shared" si="4"/>
        <v>324</v>
      </c>
    </row>
    <row r="110" spans="1:6" ht="31" x14ac:dyDescent="0.35">
      <c r="A110" s="259">
        <v>17</v>
      </c>
      <c r="B110" s="263" t="s">
        <v>250</v>
      </c>
      <c r="C110" s="257" t="s">
        <v>202</v>
      </c>
      <c r="D110" s="266">
        <v>4</v>
      </c>
      <c r="E110" s="282">
        <v>28.16</v>
      </c>
      <c r="F110" s="282">
        <f t="shared" si="4"/>
        <v>112.64</v>
      </c>
    </row>
    <row r="111" spans="1:6" ht="31" x14ac:dyDescent="0.35">
      <c r="A111" s="259">
        <v>18</v>
      </c>
      <c r="B111" s="263" t="s">
        <v>251</v>
      </c>
      <c r="C111" s="257" t="s">
        <v>202</v>
      </c>
      <c r="D111" s="266">
        <v>6</v>
      </c>
      <c r="E111" s="282">
        <v>26.97</v>
      </c>
      <c r="F111" s="282">
        <f t="shared" si="4"/>
        <v>161.82</v>
      </c>
    </row>
    <row r="112" spans="1:6" ht="31" x14ac:dyDescent="0.35">
      <c r="A112" s="286">
        <v>19</v>
      </c>
      <c r="B112" s="287" t="s">
        <v>252</v>
      </c>
      <c r="C112" s="288" t="s">
        <v>202</v>
      </c>
      <c r="D112" s="289">
        <v>2</v>
      </c>
      <c r="E112" s="290">
        <v>21.59</v>
      </c>
      <c r="F112" s="290">
        <f t="shared" si="4"/>
        <v>43.18</v>
      </c>
    </row>
    <row r="113" spans="1:6" ht="31" x14ac:dyDescent="0.35">
      <c r="A113" s="286">
        <v>20</v>
      </c>
      <c r="B113" s="263" t="s">
        <v>218</v>
      </c>
      <c r="C113" s="270" t="s">
        <v>202</v>
      </c>
      <c r="D113" s="266">
        <v>1</v>
      </c>
      <c r="E113" s="282">
        <v>62.5</v>
      </c>
      <c r="F113" s="282">
        <f t="shared" ref="F113:F118" si="5">D113*E113</f>
        <v>62.5</v>
      </c>
    </row>
    <row r="114" spans="1:6" ht="62" x14ac:dyDescent="0.35">
      <c r="A114" s="286">
        <v>21</v>
      </c>
      <c r="B114" s="265" t="s">
        <v>219</v>
      </c>
      <c r="C114" s="270" t="s">
        <v>202</v>
      </c>
      <c r="D114" s="266">
        <v>1</v>
      </c>
      <c r="E114" s="282">
        <v>273.66000000000003</v>
      </c>
      <c r="F114" s="282">
        <f t="shared" si="5"/>
        <v>273.66000000000003</v>
      </c>
    </row>
    <row r="115" spans="1:6" ht="62" x14ac:dyDescent="0.35">
      <c r="A115" s="286">
        <v>22</v>
      </c>
      <c r="B115" s="265" t="s">
        <v>220</v>
      </c>
      <c r="C115" s="270" t="s">
        <v>202</v>
      </c>
      <c r="D115" s="266">
        <v>1</v>
      </c>
      <c r="E115" s="282">
        <v>179.7</v>
      </c>
      <c r="F115" s="282">
        <f t="shared" si="5"/>
        <v>179.7</v>
      </c>
    </row>
    <row r="116" spans="1:6" ht="77.5" x14ac:dyDescent="0.35">
      <c r="A116" s="286">
        <v>23</v>
      </c>
      <c r="B116" s="265" t="s">
        <v>221</v>
      </c>
      <c r="C116" s="270" t="s">
        <v>202</v>
      </c>
      <c r="D116" s="266">
        <v>2</v>
      </c>
      <c r="E116" s="282">
        <v>38.85</v>
      </c>
      <c r="F116" s="282">
        <f t="shared" si="5"/>
        <v>77.7</v>
      </c>
    </row>
    <row r="117" spans="1:6" ht="31" x14ac:dyDescent="0.35">
      <c r="A117" s="286">
        <v>24</v>
      </c>
      <c r="B117" s="263" t="s">
        <v>222</v>
      </c>
      <c r="C117" s="270" t="s">
        <v>202</v>
      </c>
      <c r="D117" s="266">
        <v>1</v>
      </c>
      <c r="E117" s="282">
        <v>40.43</v>
      </c>
      <c r="F117" s="282">
        <f t="shared" si="5"/>
        <v>40.43</v>
      </c>
    </row>
    <row r="118" spans="1:6" x14ac:dyDescent="0.35">
      <c r="A118" s="286">
        <v>25</v>
      </c>
      <c r="B118" s="263" t="s">
        <v>223</v>
      </c>
      <c r="C118" s="270" t="s">
        <v>202</v>
      </c>
      <c r="D118" s="266">
        <v>1</v>
      </c>
      <c r="E118" s="282">
        <v>34.14</v>
      </c>
      <c r="F118" s="282">
        <f t="shared" si="5"/>
        <v>34.14</v>
      </c>
    </row>
    <row r="119" spans="1:6" x14ac:dyDescent="0.35">
      <c r="A119" s="303">
        <v>26</v>
      </c>
      <c r="B119" s="308" t="s">
        <v>411</v>
      </c>
      <c r="C119" s="306" t="s">
        <v>202</v>
      </c>
      <c r="D119" s="307">
        <v>2</v>
      </c>
      <c r="E119" s="309">
        <v>175</v>
      </c>
      <c r="F119" s="310">
        <f>D119*E119</f>
        <v>350</v>
      </c>
    </row>
    <row r="120" spans="1:6" x14ac:dyDescent="0.35">
      <c r="A120" s="445"/>
      <c r="B120" s="445"/>
      <c r="C120" s="445"/>
      <c r="D120" s="445"/>
      <c r="E120" s="445"/>
      <c r="F120" s="284">
        <f>SUM(F94:F119)</f>
        <v>5854.170000000001</v>
      </c>
    </row>
    <row r="121" spans="1:6" x14ac:dyDescent="0.35">
      <c r="A121" s="440" t="s">
        <v>310</v>
      </c>
      <c r="B121" s="440"/>
      <c r="C121" s="440"/>
      <c r="D121" s="440"/>
      <c r="E121" s="440"/>
      <c r="F121" s="126">
        <f>F120/2</f>
        <v>2927.0850000000005</v>
      </c>
    </row>
    <row r="122" spans="1:6" x14ac:dyDescent="0.35">
      <c r="A122" s="440" t="s">
        <v>304</v>
      </c>
      <c r="B122" s="440"/>
      <c r="C122" s="440"/>
      <c r="D122" s="440"/>
      <c r="E122" s="440"/>
      <c r="F122" s="126">
        <f>F121/12</f>
        <v>243.92375000000004</v>
      </c>
    </row>
    <row r="123" spans="1:6" x14ac:dyDescent="0.35">
      <c r="A123" s="441" t="s">
        <v>307</v>
      </c>
      <c r="B123" s="441"/>
      <c r="C123" s="441"/>
      <c r="D123" s="441"/>
      <c r="E123" s="441"/>
      <c r="F123" s="280">
        <f>F122/3</f>
        <v>81.307916666666685</v>
      </c>
    </row>
    <row r="127" spans="1:6" x14ac:dyDescent="0.35">
      <c r="A127" s="442" t="s">
        <v>263</v>
      </c>
      <c r="B127" s="442"/>
      <c r="C127" s="442"/>
      <c r="D127" s="442"/>
      <c r="E127" s="442"/>
      <c r="F127" s="442"/>
    </row>
    <row r="128" spans="1:6" ht="46.5" x14ac:dyDescent="0.35">
      <c r="A128" s="262" t="s">
        <v>54</v>
      </c>
      <c r="B128" s="262" t="s">
        <v>104</v>
      </c>
      <c r="C128" s="262" t="s">
        <v>99</v>
      </c>
      <c r="D128" s="285" t="s">
        <v>261</v>
      </c>
      <c r="E128" s="262" t="s">
        <v>226</v>
      </c>
      <c r="F128" s="262" t="s">
        <v>227</v>
      </c>
    </row>
    <row r="129" spans="1:6" ht="62" x14ac:dyDescent="0.35">
      <c r="A129" s="259">
        <v>1</v>
      </c>
      <c r="B129" s="263" t="s">
        <v>235</v>
      </c>
      <c r="C129" s="257" t="s">
        <v>202</v>
      </c>
      <c r="D129" s="266">
        <v>8</v>
      </c>
      <c r="E129" s="282">
        <v>14.47</v>
      </c>
      <c r="F129" s="282">
        <f>D129*E129</f>
        <v>115.76</v>
      </c>
    </row>
    <row r="130" spans="1:6" ht="31" x14ac:dyDescent="0.35">
      <c r="A130" s="259">
        <v>2</v>
      </c>
      <c r="B130" s="263" t="s">
        <v>236</v>
      </c>
      <c r="C130" s="257" t="s">
        <v>202</v>
      </c>
      <c r="D130" s="266">
        <v>8</v>
      </c>
      <c r="E130" s="282">
        <v>9.8000000000000007</v>
      </c>
      <c r="F130" s="282">
        <f t="shared" ref="F130:F148" si="6">D130*E130</f>
        <v>78.400000000000006</v>
      </c>
    </row>
    <row r="131" spans="1:6" ht="77.5" x14ac:dyDescent="0.35">
      <c r="A131" s="259">
        <v>3</v>
      </c>
      <c r="B131" s="263" t="s">
        <v>237</v>
      </c>
      <c r="C131" s="257" t="s">
        <v>202</v>
      </c>
      <c r="D131" s="266">
        <v>4</v>
      </c>
      <c r="E131" s="282">
        <v>44.97</v>
      </c>
      <c r="F131" s="282">
        <f t="shared" si="6"/>
        <v>179.88</v>
      </c>
    </row>
    <row r="132" spans="1:6" ht="31" x14ac:dyDescent="0.35">
      <c r="A132" s="259">
        <v>4</v>
      </c>
      <c r="B132" s="263" t="s">
        <v>238</v>
      </c>
      <c r="C132" s="257" t="s">
        <v>202</v>
      </c>
      <c r="D132" s="266">
        <v>8</v>
      </c>
      <c r="E132" s="282">
        <v>13.23</v>
      </c>
      <c r="F132" s="282">
        <f t="shared" si="6"/>
        <v>105.84</v>
      </c>
    </row>
    <row r="133" spans="1:6" ht="46.5" x14ac:dyDescent="0.35">
      <c r="A133" s="259">
        <v>5</v>
      </c>
      <c r="B133" s="263" t="s">
        <v>239</v>
      </c>
      <c r="C133" s="257" t="s">
        <v>202</v>
      </c>
      <c r="D133" s="266">
        <v>8</v>
      </c>
      <c r="E133" s="282">
        <v>13.06</v>
      </c>
      <c r="F133" s="282">
        <f t="shared" si="6"/>
        <v>104.48</v>
      </c>
    </row>
    <row r="134" spans="1:6" ht="31" x14ac:dyDescent="0.35">
      <c r="A134" s="259">
        <v>6</v>
      </c>
      <c r="B134" s="263" t="s">
        <v>259</v>
      </c>
      <c r="C134" s="257" t="s">
        <v>202</v>
      </c>
      <c r="D134" s="266">
        <v>8</v>
      </c>
      <c r="E134" s="282">
        <v>50.71</v>
      </c>
      <c r="F134" s="282">
        <f t="shared" si="6"/>
        <v>405.68</v>
      </c>
    </row>
    <row r="135" spans="1:6" ht="46.5" x14ac:dyDescent="0.35">
      <c r="A135" s="259">
        <v>7</v>
      </c>
      <c r="B135" s="263" t="s">
        <v>241</v>
      </c>
      <c r="C135" s="257" t="s">
        <v>202</v>
      </c>
      <c r="D135" s="266">
        <v>8</v>
      </c>
      <c r="E135" s="282">
        <v>44.95</v>
      </c>
      <c r="F135" s="282">
        <f t="shared" si="6"/>
        <v>359.6</v>
      </c>
    </row>
    <row r="136" spans="1:6" ht="31" x14ac:dyDescent="0.35">
      <c r="A136" s="259">
        <v>8</v>
      </c>
      <c r="B136" s="263" t="s">
        <v>242</v>
      </c>
      <c r="C136" s="257" t="s">
        <v>202</v>
      </c>
      <c r="D136" s="266">
        <v>8</v>
      </c>
      <c r="E136" s="282">
        <v>5.47</v>
      </c>
      <c r="F136" s="282">
        <f t="shared" si="6"/>
        <v>43.76</v>
      </c>
    </row>
    <row r="137" spans="1:6" ht="31" x14ac:dyDescent="0.35">
      <c r="A137" s="259">
        <v>9</v>
      </c>
      <c r="B137" s="263" t="s">
        <v>105</v>
      </c>
      <c r="C137" s="257" t="s">
        <v>202</v>
      </c>
      <c r="D137" s="266">
        <v>8</v>
      </c>
      <c r="E137" s="282">
        <v>14.48</v>
      </c>
      <c r="F137" s="282">
        <f t="shared" si="6"/>
        <v>115.84</v>
      </c>
    </row>
    <row r="138" spans="1:6" ht="31" x14ac:dyDescent="0.35">
      <c r="A138" s="259">
        <v>10</v>
      </c>
      <c r="B138" s="268" t="s">
        <v>106</v>
      </c>
      <c r="C138" s="257" t="s">
        <v>243</v>
      </c>
      <c r="D138" s="266">
        <v>4</v>
      </c>
      <c r="E138" s="282">
        <v>29.76</v>
      </c>
      <c r="F138" s="282">
        <f t="shared" si="6"/>
        <v>119.04</v>
      </c>
    </row>
    <row r="139" spans="1:6" ht="62" x14ac:dyDescent="0.35">
      <c r="A139" s="259">
        <v>11</v>
      </c>
      <c r="B139" s="263" t="s">
        <v>184</v>
      </c>
      <c r="C139" s="257" t="s">
        <v>202</v>
      </c>
      <c r="D139" s="266">
        <v>8</v>
      </c>
      <c r="E139" s="282">
        <v>107.73</v>
      </c>
      <c r="F139" s="282">
        <f t="shared" si="6"/>
        <v>861.84</v>
      </c>
    </row>
    <row r="140" spans="1:6" ht="62" x14ac:dyDescent="0.35">
      <c r="A140" s="259">
        <v>12</v>
      </c>
      <c r="B140" s="263" t="s">
        <v>260</v>
      </c>
      <c r="C140" s="257" t="s">
        <v>202</v>
      </c>
      <c r="D140" s="266">
        <v>6</v>
      </c>
      <c r="E140" s="282">
        <v>66.14</v>
      </c>
      <c r="F140" s="282">
        <f t="shared" si="6"/>
        <v>396.84000000000003</v>
      </c>
    </row>
    <row r="141" spans="1:6" ht="62" x14ac:dyDescent="0.35">
      <c r="A141" s="259">
        <v>13</v>
      </c>
      <c r="B141" s="263" t="s">
        <v>257</v>
      </c>
      <c r="C141" s="257" t="s">
        <v>202</v>
      </c>
      <c r="D141" s="266">
        <v>16</v>
      </c>
      <c r="E141" s="282">
        <v>25.44</v>
      </c>
      <c r="F141" s="282">
        <f t="shared" si="6"/>
        <v>407.04</v>
      </c>
    </row>
    <row r="142" spans="1:6" ht="31" x14ac:dyDescent="0.35">
      <c r="A142" s="259">
        <v>14</v>
      </c>
      <c r="B142" s="263" t="s">
        <v>183</v>
      </c>
      <c r="C142" s="257" t="s">
        <v>202</v>
      </c>
      <c r="D142" s="266">
        <v>4</v>
      </c>
      <c r="E142" s="282">
        <v>17.079999999999998</v>
      </c>
      <c r="F142" s="282">
        <f t="shared" si="6"/>
        <v>68.319999999999993</v>
      </c>
    </row>
    <row r="143" spans="1:6" ht="46.5" x14ac:dyDescent="0.35">
      <c r="A143" s="259">
        <v>15</v>
      </c>
      <c r="B143" s="263" t="s">
        <v>247</v>
      </c>
      <c r="C143" s="257" t="s">
        <v>202</v>
      </c>
      <c r="D143" s="266">
        <v>4</v>
      </c>
      <c r="E143" s="282">
        <v>34.18</v>
      </c>
      <c r="F143" s="282">
        <f t="shared" si="6"/>
        <v>136.72</v>
      </c>
    </row>
    <row r="144" spans="1:6" ht="46.5" x14ac:dyDescent="0.35">
      <c r="A144" s="259">
        <v>16</v>
      </c>
      <c r="B144" s="263" t="s">
        <v>248</v>
      </c>
      <c r="C144" s="257" t="s">
        <v>202</v>
      </c>
      <c r="D144" s="266">
        <v>3</v>
      </c>
      <c r="E144" s="282">
        <v>23.05</v>
      </c>
      <c r="F144" s="282">
        <f t="shared" si="6"/>
        <v>69.150000000000006</v>
      </c>
    </row>
    <row r="145" spans="1:6" ht="46.5" x14ac:dyDescent="0.35">
      <c r="A145" s="259">
        <v>17</v>
      </c>
      <c r="B145" s="263" t="s">
        <v>249</v>
      </c>
      <c r="C145" s="257" t="s">
        <v>202</v>
      </c>
      <c r="D145" s="266">
        <v>4</v>
      </c>
      <c r="E145" s="282">
        <v>40.5</v>
      </c>
      <c r="F145" s="282">
        <f t="shared" si="6"/>
        <v>162</v>
      </c>
    </row>
    <row r="146" spans="1:6" ht="31" x14ac:dyDescent="0.35">
      <c r="A146" s="259">
        <v>18</v>
      </c>
      <c r="B146" s="263" t="s">
        <v>250</v>
      </c>
      <c r="C146" s="257" t="s">
        <v>202</v>
      </c>
      <c r="D146" s="266">
        <v>4</v>
      </c>
      <c r="E146" s="282">
        <v>28.16</v>
      </c>
      <c r="F146" s="282">
        <f t="shared" si="6"/>
        <v>112.64</v>
      </c>
    </row>
    <row r="147" spans="1:6" ht="31" x14ac:dyDescent="0.35">
      <c r="A147" s="259">
        <v>19</v>
      </c>
      <c r="B147" s="263" t="s">
        <v>251</v>
      </c>
      <c r="C147" s="257" t="s">
        <v>202</v>
      </c>
      <c r="D147" s="266">
        <v>4</v>
      </c>
      <c r="E147" s="282">
        <v>26.97</v>
      </c>
      <c r="F147" s="282">
        <f t="shared" si="6"/>
        <v>107.88</v>
      </c>
    </row>
    <row r="148" spans="1:6" ht="31" x14ac:dyDescent="0.35">
      <c r="A148" s="259">
        <v>20</v>
      </c>
      <c r="B148" s="263" t="s">
        <v>252</v>
      </c>
      <c r="C148" s="257" t="s">
        <v>202</v>
      </c>
      <c r="D148" s="266">
        <v>2</v>
      </c>
      <c r="E148" s="282">
        <v>21.59</v>
      </c>
      <c r="F148" s="282">
        <f t="shared" si="6"/>
        <v>43.18</v>
      </c>
    </row>
    <row r="149" spans="1:6" ht="62" x14ac:dyDescent="0.35">
      <c r="A149" s="259">
        <v>21</v>
      </c>
      <c r="B149" s="265" t="s">
        <v>219</v>
      </c>
      <c r="C149" s="270" t="s">
        <v>202</v>
      </c>
      <c r="D149" s="266">
        <v>1</v>
      </c>
      <c r="E149" s="282">
        <v>273.66000000000003</v>
      </c>
      <c r="F149" s="282">
        <f>D149*E149</f>
        <v>273.66000000000003</v>
      </c>
    </row>
    <row r="150" spans="1:6" ht="62" x14ac:dyDescent="0.35">
      <c r="A150" s="259">
        <v>22</v>
      </c>
      <c r="B150" s="265" t="s">
        <v>220</v>
      </c>
      <c r="C150" s="270" t="s">
        <v>202</v>
      </c>
      <c r="D150" s="266">
        <v>1</v>
      </c>
      <c r="E150" s="282">
        <v>179.7</v>
      </c>
      <c r="F150" s="282">
        <f>D150*E150</f>
        <v>179.7</v>
      </c>
    </row>
    <row r="151" spans="1:6" ht="77.5" x14ac:dyDescent="0.35">
      <c r="A151" s="259">
        <v>23</v>
      </c>
      <c r="B151" s="265" t="s">
        <v>221</v>
      </c>
      <c r="C151" s="270" t="s">
        <v>202</v>
      </c>
      <c r="D151" s="266">
        <v>2</v>
      </c>
      <c r="E151" s="282">
        <v>38.85</v>
      </c>
      <c r="F151" s="282">
        <f>D151*E151</f>
        <v>77.7</v>
      </c>
    </row>
    <row r="152" spans="1:6" x14ac:dyDescent="0.35">
      <c r="A152" s="259">
        <v>24</v>
      </c>
      <c r="B152" s="263" t="s">
        <v>223</v>
      </c>
      <c r="C152" s="270" t="s">
        <v>202</v>
      </c>
      <c r="D152" s="266">
        <v>1</v>
      </c>
      <c r="E152" s="282">
        <v>34.14</v>
      </c>
      <c r="F152" s="282">
        <f>D152*E152</f>
        <v>34.14</v>
      </c>
    </row>
    <row r="153" spans="1:6" ht="31" x14ac:dyDescent="0.35">
      <c r="A153" s="291">
        <v>25</v>
      </c>
      <c r="B153" s="263" t="s">
        <v>218</v>
      </c>
      <c r="C153" s="270" t="s">
        <v>202</v>
      </c>
      <c r="D153" s="266">
        <v>1</v>
      </c>
      <c r="E153" s="282">
        <v>62.5</v>
      </c>
      <c r="F153" s="282">
        <f>D153*E153</f>
        <v>62.5</v>
      </c>
    </row>
    <row r="154" spans="1:6" x14ac:dyDescent="0.35">
      <c r="A154" s="445"/>
      <c r="B154" s="445"/>
      <c r="C154" s="445"/>
      <c r="D154" s="445"/>
      <c r="E154" s="445"/>
      <c r="F154" s="292">
        <f>SUM(F129:F153)</f>
        <v>4621.59</v>
      </c>
    </row>
    <row r="155" spans="1:6" x14ac:dyDescent="0.35">
      <c r="A155" s="440" t="s">
        <v>310</v>
      </c>
      <c r="B155" s="440"/>
      <c r="C155" s="440"/>
      <c r="D155" s="440"/>
      <c r="E155" s="440"/>
      <c r="F155" s="126">
        <f>F154/2</f>
        <v>2310.7950000000001</v>
      </c>
    </row>
    <row r="156" spans="1:6" x14ac:dyDescent="0.35">
      <c r="A156" s="440" t="s">
        <v>304</v>
      </c>
      <c r="B156" s="440"/>
      <c r="C156" s="440"/>
      <c r="D156" s="440"/>
      <c r="E156" s="440"/>
      <c r="F156" s="126">
        <f>F155/12</f>
        <v>192.56625</v>
      </c>
    </row>
    <row r="157" spans="1:6" x14ac:dyDescent="0.35">
      <c r="A157" s="441" t="s">
        <v>307</v>
      </c>
      <c r="B157" s="441"/>
      <c r="C157" s="441"/>
      <c r="D157" s="441"/>
      <c r="E157" s="441"/>
      <c r="F157" s="280">
        <f>F156/3</f>
        <v>64.188749999999999</v>
      </c>
    </row>
    <row r="161" spans="1:6" x14ac:dyDescent="0.35">
      <c r="A161" s="442" t="s">
        <v>264</v>
      </c>
      <c r="B161" s="442"/>
      <c r="C161" s="442"/>
      <c r="D161" s="442"/>
      <c r="E161" s="442"/>
      <c r="F161" s="442"/>
    </row>
    <row r="162" spans="1:6" ht="46.5" x14ac:dyDescent="0.35">
      <c r="A162" s="262" t="s">
        <v>54</v>
      </c>
      <c r="B162" s="262" t="s">
        <v>104</v>
      </c>
      <c r="C162" s="262" t="s">
        <v>99</v>
      </c>
      <c r="D162" s="285" t="s">
        <v>261</v>
      </c>
      <c r="E162" s="262" t="s">
        <v>226</v>
      </c>
      <c r="F162" s="262" t="s">
        <v>227</v>
      </c>
    </row>
    <row r="163" spans="1:6" ht="62" x14ac:dyDescent="0.35">
      <c r="A163" s="259">
        <v>1</v>
      </c>
      <c r="B163" s="263" t="s">
        <v>235</v>
      </c>
      <c r="C163" s="257" t="s">
        <v>202</v>
      </c>
      <c r="D163" s="266">
        <v>8</v>
      </c>
      <c r="E163" s="266">
        <v>14.47</v>
      </c>
      <c r="F163" s="266">
        <f>D163*E163</f>
        <v>115.76</v>
      </c>
    </row>
    <row r="164" spans="1:6" ht="31" x14ac:dyDescent="0.35">
      <c r="A164" s="259">
        <v>2</v>
      </c>
      <c r="B164" s="263" t="s">
        <v>236</v>
      </c>
      <c r="C164" s="257" t="s">
        <v>202</v>
      </c>
      <c r="D164" s="266">
        <v>8</v>
      </c>
      <c r="E164" s="266">
        <v>9.8000000000000007</v>
      </c>
      <c r="F164" s="266">
        <f t="shared" ref="F164:F181" si="7">D164*E164</f>
        <v>78.400000000000006</v>
      </c>
    </row>
    <row r="165" spans="1:6" ht="77.5" x14ac:dyDescent="0.35">
      <c r="A165" s="259">
        <v>3</v>
      </c>
      <c r="B165" s="263" t="s">
        <v>237</v>
      </c>
      <c r="C165" s="257" t="s">
        <v>202</v>
      </c>
      <c r="D165" s="266">
        <v>8</v>
      </c>
      <c r="E165" s="266">
        <v>44.97</v>
      </c>
      <c r="F165" s="266">
        <f t="shared" si="7"/>
        <v>359.76</v>
      </c>
    </row>
    <row r="166" spans="1:6" ht="31" x14ac:dyDescent="0.35">
      <c r="A166" s="259">
        <v>4</v>
      </c>
      <c r="B166" s="263" t="s">
        <v>238</v>
      </c>
      <c r="C166" s="257" t="s">
        <v>202</v>
      </c>
      <c r="D166" s="266">
        <v>4</v>
      </c>
      <c r="E166" s="266">
        <v>13.23</v>
      </c>
      <c r="F166" s="266">
        <f t="shared" si="7"/>
        <v>52.92</v>
      </c>
    </row>
    <row r="167" spans="1:6" ht="46.5" x14ac:dyDescent="0.35">
      <c r="A167" s="259">
        <v>5</v>
      </c>
      <c r="B167" s="263" t="s">
        <v>239</v>
      </c>
      <c r="C167" s="257" t="s">
        <v>202</v>
      </c>
      <c r="D167" s="266">
        <v>4</v>
      </c>
      <c r="E167" s="266">
        <v>13.06</v>
      </c>
      <c r="F167" s="266">
        <f t="shared" si="7"/>
        <v>52.24</v>
      </c>
    </row>
    <row r="168" spans="1:6" ht="31" x14ac:dyDescent="0.35">
      <c r="A168" s="259">
        <v>6</v>
      </c>
      <c r="B168" s="263" t="s">
        <v>259</v>
      </c>
      <c r="C168" s="257" t="s">
        <v>202</v>
      </c>
      <c r="D168" s="266">
        <v>12</v>
      </c>
      <c r="E168" s="266">
        <v>50.71</v>
      </c>
      <c r="F168" s="266">
        <f t="shared" si="7"/>
        <v>608.52</v>
      </c>
    </row>
    <row r="169" spans="1:6" ht="46.5" x14ac:dyDescent="0.35">
      <c r="A169" s="259">
        <v>7</v>
      </c>
      <c r="B169" s="263" t="s">
        <v>241</v>
      </c>
      <c r="C169" s="257" t="s">
        <v>202</v>
      </c>
      <c r="D169" s="266">
        <v>12</v>
      </c>
      <c r="E169" s="266">
        <v>44.95</v>
      </c>
      <c r="F169" s="266">
        <f t="shared" si="7"/>
        <v>539.40000000000009</v>
      </c>
    </row>
    <row r="170" spans="1:6" ht="31" x14ac:dyDescent="0.35">
      <c r="A170" s="259">
        <v>8</v>
      </c>
      <c r="B170" s="263" t="s">
        <v>242</v>
      </c>
      <c r="C170" s="257" t="s">
        <v>202</v>
      </c>
      <c r="D170" s="266">
        <v>8</v>
      </c>
      <c r="E170" s="266">
        <v>5.47</v>
      </c>
      <c r="F170" s="266">
        <f t="shared" si="7"/>
        <v>43.76</v>
      </c>
    </row>
    <row r="171" spans="1:6" ht="31" x14ac:dyDescent="0.35">
      <c r="A171" s="259">
        <v>9</v>
      </c>
      <c r="B171" s="263" t="s">
        <v>105</v>
      </c>
      <c r="C171" s="257" t="s">
        <v>202</v>
      </c>
      <c r="D171" s="266">
        <v>8</v>
      </c>
      <c r="E171" s="266">
        <v>14.48</v>
      </c>
      <c r="F171" s="266">
        <f t="shared" si="7"/>
        <v>115.84</v>
      </c>
    </row>
    <row r="172" spans="1:6" ht="62" x14ac:dyDescent="0.35">
      <c r="A172" s="259">
        <v>11</v>
      </c>
      <c r="B172" s="263" t="s">
        <v>184</v>
      </c>
      <c r="C172" s="257" t="s">
        <v>202</v>
      </c>
      <c r="D172" s="266">
        <v>8</v>
      </c>
      <c r="E172" s="266">
        <v>107.73</v>
      </c>
      <c r="F172" s="266">
        <f t="shared" si="7"/>
        <v>861.84</v>
      </c>
    </row>
    <row r="173" spans="1:6" ht="62" x14ac:dyDescent="0.35">
      <c r="A173" s="259">
        <v>12</v>
      </c>
      <c r="B173" s="263" t="s">
        <v>260</v>
      </c>
      <c r="C173" s="257" t="s">
        <v>202</v>
      </c>
      <c r="D173" s="266">
        <v>8</v>
      </c>
      <c r="E173" s="266">
        <v>66.14</v>
      </c>
      <c r="F173" s="266">
        <f t="shared" si="7"/>
        <v>529.12</v>
      </c>
    </row>
    <row r="174" spans="1:6" ht="62" x14ac:dyDescent="0.35">
      <c r="A174" s="259">
        <v>15</v>
      </c>
      <c r="B174" s="263" t="s">
        <v>257</v>
      </c>
      <c r="C174" s="257" t="s">
        <v>202</v>
      </c>
      <c r="D174" s="266">
        <v>16</v>
      </c>
      <c r="E174" s="266">
        <v>25.44</v>
      </c>
      <c r="F174" s="266">
        <f t="shared" si="7"/>
        <v>407.04</v>
      </c>
    </row>
    <row r="175" spans="1:6" ht="31" x14ac:dyDescent="0.35">
      <c r="A175" s="259">
        <v>16</v>
      </c>
      <c r="B175" s="263" t="s">
        <v>183</v>
      </c>
      <c r="C175" s="257" t="s">
        <v>202</v>
      </c>
      <c r="D175" s="266">
        <v>4</v>
      </c>
      <c r="E175" s="266">
        <v>17.079999999999998</v>
      </c>
      <c r="F175" s="266">
        <f t="shared" si="7"/>
        <v>68.319999999999993</v>
      </c>
    </row>
    <row r="176" spans="1:6" ht="46.5" x14ac:dyDescent="0.35">
      <c r="A176" s="259">
        <v>17</v>
      </c>
      <c r="B176" s="263" t="s">
        <v>247</v>
      </c>
      <c r="C176" s="257" t="s">
        <v>202</v>
      </c>
      <c r="D176" s="266">
        <v>4</v>
      </c>
      <c r="E176" s="266">
        <v>34.18</v>
      </c>
      <c r="F176" s="266">
        <f t="shared" si="7"/>
        <v>136.72</v>
      </c>
    </row>
    <row r="177" spans="1:6" ht="46.5" x14ac:dyDescent="0.35">
      <c r="A177" s="259">
        <v>18</v>
      </c>
      <c r="B177" s="263" t="s">
        <v>248</v>
      </c>
      <c r="C177" s="257" t="s">
        <v>202</v>
      </c>
      <c r="D177" s="266">
        <v>4</v>
      </c>
      <c r="E177" s="266">
        <v>23.05</v>
      </c>
      <c r="F177" s="266">
        <f t="shared" si="7"/>
        <v>92.2</v>
      </c>
    </row>
    <row r="178" spans="1:6" ht="46.5" x14ac:dyDescent="0.35">
      <c r="A178" s="259">
        <v>19</v>
      </c>
      <c r="B178" s="263" t="s">
        <v>249</v>
      </c>
      <c r="C178" s="257" t="s">
        <v>202</v>
      </c>
      <c r="D178" s="266">
        <v>8</v>
      </c>
      <c r="E178" s="266">
        <v>40.5</v>
      </c>
      <c r="F178" s="266">
        <f t="shared" si="7"/>
        <v>324</v>
      </c>
    </row>
    <row r="179" spans="1:6" ht="31" x14ac:dyDescent="0.35">
      <c r="A179" s="259">
        <v>20</v>
      </c>
      <c r="B179" s="263" t="s">
        <v>250</v>
      </c>
      <c r="C179" s="257" t="s">
        <v>202</v>
      </c>
      <c r="D179" s="266">
        <v>4</v>
      </c>
      <c r="E179" s="266">
        <v>28.16</v>
      </c>
      <c r="F179" s="266">
        <f t="shared" si="7"/>
        <v>112.64</v>
      </c>
    </row>
    <row r="180" spans="1:6" ht="31" x14ac:dyDescent="0.35">
      <c r="A180" s="259">
        <v>21</v>
      </c>
      <c r="B180" s="263" t="s">
        <v>251</v>
      </c>
      <c r="C180" s="257" t="s">
        <v>202</v>
      </c>
      <c r="D180" s="266">
        <v>4</v>
      </c>
      <c r="E180" s="266">
        <v>26.97</v>
      </c>
      <c r="F180" s="266">
        <f t="shared" si="7"/>
        <v>107.88</v>
      </c>
    </row>
    <row r="181" spans="1:6" ht="31" x14ac:dyDescent="0.35">
      <c r="A181" s="259">
        <v>22</v>
      </c>
      <c r="B181" s="263" t="s">
        <v>252</v>
      </c>
      <c r="C181" s="257" t="s">
        <v>202</v>
      </c>
      <c r="D181" s="266">
        <v>2</v>
      </c>
      <c r="E181" s="266">
        <v>21.59</v>
      </c>
      <c r="F181" s="266">
        <f t="shared" si="7"/>
        <v>43.18</v>
      </c>
    </row>
    <row r="182" spans="1:6" ht="31.5" thickBot="1" x14ac:dyDescent="0.4">
      <c r="A182" s="259">
        <v>23</v>
      </c>
      <c r="B182" s="293" t="s">
        <v>218</v>
      </c>
      <c r="C182" s="294" t="s">
        <v>202</v>
      </c>
      <c r="D182" s="295">
        <v>1</v>
      </c>
      <c r="E182" s="296">
        <v>62.5</v>
      </c>
      <c r="F182" s="296">
        <f t="shared" ref="F182:F187" si="8">D182*E182</f>
        <v>62.5</v>
      </c>
    </row>
    <row r="183" spans="1:6" ht="62.5" thickBot="1" x14ac:dyDescent="0.4">
      <c r="A183" s="259">
        <v>24</v>
      </c>
      <c r="B183" s="297" t="s">
        <v>219</v>
      </c>
      <c r="C183" s="294" t="s">
        <v>202</v>
      </c>
      <c r="D183" s="295">
        <v>1</v>
      </c>
      <c r="E183" s="296">
        <v>273.66000000000003</v>
      </c>
      <c r="F183" s="296">
        <f t="shared" si="8"/>
        <v>273.66000000000003</v>
      </c>
    </row>
    <row r="184" spans="1:6" ht="62.5" thickBot="1" x14ac:dyDescent="0.4">
      <c r="A184" s="259">
        <v>25</v>
      </c>
      <c r="B184" s="297" t="s">
        <v>220</v>
      </c>
      <c r="C184" s="294" t="s">
        <v>202</v>
      </c>
      <c r="D184" s="295">
        <v>1</v>
      </c>
      <c r="E184" s="296">
        <v>179.7</v>
      </c>
      <c r="F184" s="296">
        <f t="shared" si="8"/>
        <v>179.7</v>
      </c>
    </row>
    <row r="185" spans="1:6" ht="78" thickBot="1" x14ac:dyDescent="0.4">
      <c r="A185" s="259">
        <v>26</v>
      </c>
      <c r="B185" s="297" t="s">
        <v>221</v>
      </c>
      <c r="C185" s="294" t="s">
        <v>202</v>
      </c>
      <c r="D185" s="295">
        <v>2</v>
      </c>
      <c r="E185" s="296">
        <v>38.85</v>
      </c>
      <c r="F185" s="296">
        <f t="shared" si="8"/>
        <v>77.7</v>
      </c>
    </row>
    <row r="186" spans="1:6" ht="31.5" thickBot="1" x14ac:dyDescent="0.4">
      <c r="A186" s="259">
        <v>27</v>
      </c>
      <c r="B186" s="293" t="s">
        <v>222</v>
      </c>
      <c r="C186" s="294" t="s">
        <v>202</v>
      </c>
      <c r="D186" s="295">
        <v>1</v>
      </c>
      <c r="E186" s="296">
        <v>40.43</v>
      </c>
      <c r="F186" s="296">
        <f t="shared" si="8"/>
        <v>40.43</v>
      </c>
    </row>
    <row r="187" spans="1:6" ht="16" thickBot="1" x14ac:dyDescent="0.4">
      <c r="A187" s="259">
        <v>28</v>
      </c>
      <c r="B187" s="293" t="s">
        <v>223</v>
      </c>
      <c r="C187" s="294" t="s">
        <v>202</v>
      </c>
      <c r="D187" s="295">
        <v>1</v>
      </c>
      <c r="E187" s="296">
        <v>34.14</v>
      </c>
      <c r="F187" s="296">
        <f t="shared" si="8"/>
        <v>34.14</v>
      </c>
    </row>
    <row r="188" spans="1:6" x14ac:dyDescent="0.35">
      <c r="A188" s="445"/>
      <c r="B188" s="445"/>
      <c r="C188" s="445"/>
      <c r="D188" s="445"/>
      <c r="E188" s="445"/>
      <c r="F188" s="292">
        <f>SUM(F163:F187)</f>
        <v>5317.670000000001</v>
      </c>
    </row>
    <row r="189" spans="1:6" x14ac:dyDescent="0.35">
      <c r="A189" s="440" t="s">
        <v>310</v>
      </c>
      <c r="B189" s="440"/>
      <c r="C189" s="440"/>
      <c r="D189" s="440"/>
      <c r="E189" s="440"/>
      <c r="F189" s="126">
        <f>F188/2</f>
        <v>2658.8350000000005</v>
      </c>
    </row>
    <row r="190" spans="1:6" x14ac:dyDescent="0.35">
      <c r="A190" s="440" t="s">
        <v>304</v>
      </c>
      <c r="B190" s="440"/>
      <c r="C190" s="440"/>
      <c r="D190" s="440"/>
      <c r="E190" s="440"/>
      <c r="F190" s="126">
        <f>F189/12</f>
        <v>221.56958333333338</v>
      </c>
    </row>
    <row r="191" spans="1:6" x14ac:dyDescent="0.35">
      <c r="A191" s="441" t="s">
        <v>306</v>
      </c>
      <c r="B191" s="441"/>
      <c r="C191" s="441"/>
      <c r="D191" s="441"/>
      <c r="E191" s="441"/>
      <c r="F191" s="280">
        <f>F190/2</f>
        <v>110.78479166666669</v>
      </c>
    </row>
    <row r="195" spans="1:6" ht="22.5" customHeight="1" x14ac:dyDescent="0.35">
      <c r="A195" s="442" t="s">
        <v>258</v>
      </c>
      <c r="B195" s="442"/>
      <c r="C195" s="442"/>
      <c r="D195" s="442"/>
      <c r="E195" s="442"/>
      <c r="F195" s="442"/>
    </row>
    <row r="196" spans="1:6" ht="46.5" x14ac:dyDescent="0.35">
      <c r="A196" s="262" t="s">
        <v>54</v>
      </c>
      <c r="B196" s="262" t="s">
        <v>104</v>
      </c>
      <c r="C196" s="262" t="s">
        <v>99</v>
      </c>
      <c r="D196" s="285" t="s">
        <v>261</v>
      </c>
      <c r="E196" s="262" t="s">
        <v>226</v>
      </c>
      <c r="F196" s="262" t="s">
        <v>227</v>
      </c>
    </row>
    <row r="197" spans="1:6" ht="62" x14ac:dyDescent="0.35">
      <c r="A197" s="259">
        <v>1</v>
      </c>
      <c r="B197" s="263" t="s">
        <v>235</v>
      </c>
      <c r="C197" s="257" t="s">
        <v>202</v>
      </c>
      <c r="D197" s="266">
        <v>2</v>
      </c>
      <c r="E197" s="282">
        <v>14.47</v>
      </c>
      <c r="F197" s="282">
        <f>D197*E197</f>
        <v>28.94</v>
      </c>
    </row>
    <row r="198" spans="1:6" ht="31" x14ac:dyDescent="0.35">
      <c r="A198" s="259">
        <v>2</v>
      </c>
      <c r="B198" s="263" t="s">
        <v>236</v>
      </c>
      <c r="C198" s="257" t="s">
        <v>202</v>
      </c>
      <c r="D198" s="266">
        <v>4</v>
      </c>
      <c r="E198" s="282">
        <v>9.8000000000000007</v>
      </c>
      <c r="F198" s="282">
        <f t="shared" ref="F198:F215" si="9">D198*E198</f>
        <v>39.200000000000003</v>
      </c>
    </row>
    <row r="199" spans="1:6" ht="77.5" x14ac:dyDescent="0.35">
      <c r="A199" s="259">
        <v>3</v>
      </c>
      <c r="B199" s="263" t="s">
        <v>237</v>
      </c>
      <c r="C199" s="257" t="s">
        <v>202</v>
      </c>
      <c r="D199" s="266">
        <v>4</v>
      </c>
      <c r="E199" s="282">
        <v>44.97</v>
      </c>
      <c r="F199" s="282">
        <f t="shared" si="9"/>
        <v>179.88</v>
      </c>
    </row>
    <row r="200" spans="1:6" ht="31" x14ac:dyDescent="0.35">
      <c r="A200" s="259">
        <v>4</v>
      </c>
      <c r="B200" s="263" t="s">
        <v>238</v>
      </c>
      <c r="C200" s="257" t="s">
        <v>202</v>
      </c>
      <c r="D200" s="266">
        <v>2</v>
      </c>
      <c r="E200" s="282">
        <v>13.23</v>
      </c>
      <c r="F200" s="282">
        <f t="shared" si="9"/>
        <v>26.46</v>
      </c>
    </row>
    <row r="201" spans="1:6" ht="46.5" x14ac:dyDescent="0.35">
      <c r="A201" s="259">
        <v>5</v>
      </c>
      <c r="B201" s="263" t="s">
        <v>239</v>
      </c>
      <c r="C201" s="257" t="s">
        <v>202</v>
      </c>
      <c r="D201" s="266">
        <v>2</v>
      </c>
      <c r="E201" s="282">
        <v>13.06</v>
      </c>
      <c r="F201" s="282">
        <f t="shared" si="9"/>
        <v>26.12</v>
      </c>
    </row>
    <row r="202" spans="1:6" ht="31" x14ac:dyDescent="0.35">
      <c r="A202" s="259">
        <v>6</v>
      </c>
      <c r="B202" s="263" t="s">
        <v>259</v>
      </c>
      <c r="C202" s="257" t="s">
        <v>202</v>
      </c>
      <c r="D202" s="266">
        <v>6</v>
      </c>
      <c r="E202" s="282">
        <v>50.71</v>
      </c>
      <c r="F202" s="282">
        <f t="shared" si="9"/>
        <v>304.26</v>
      </c>
    </row>
    <row r="203" spans="1:6" ht="46.5" x14ac:dyDescent="0.35">
      <c r="A203" s="259">
        <v>7</v>
      </c>
      <c r="B203" s="263" t="s">
        <v>241</v>
      </c>
      <c r="C203" s="257" t="s">
        <v>202</v>
      </c>
      <c r="D203" s="266">
        <v>6</v>
      </c>
      <c r="E203" s="282">
        <v>44.95</v>
      </c>
      <c r="F203" s="282">
        <f t="shared" si="9"/>
        <v>269.70000000000005</v>
      </c>
    </row>
    <row r="204" spans="1:6" ht="31" x14ac:dyDescent="0.35">
      <c r="A204" s="259">
        <v>8</v>
      </c>
      <c r="B204" s="263" t="s">
        <v>242</v>
      </c>
      <c r="C204" s="257" t="s">
        <v>202</v>
      </c>
      <c r="D204" s="266">
        <v>4</v>
      </c>
      <c r="E204" s="282">
        <v>5.47</v>
      </c>
      <c r="F204" s="282">
        <f t="shared" si="9"/>
        <v>21.88</v>
      </c>
    </row>
    <row r="205" spans="1:6" ht="31" x14ac:dyDescent="0.35">
      <c r="A205" s="259">
        <v>9</v>
      </c>
      <c r="B205" s="263" t="s">
        <v>105</v>
      </c>
      <c r="C205" s="257" t="s">
        <v>202</v>
      </c>
      <c r="D205" s="266">
        <v>8</v>
      </c>
      <c r="E205" s="282">
        <v>14.48</v>
      </c>
      <c r="F205" s="282">
        <f t="shared" si="9"/>
        <v>115.84</v>
      </c>
    </row>
    <row r="206" spans="1:6" ht="62" x14ac:dyDescent="0.35">
      <c r="A206" s="259">
        <v>10</v>
      </c>
      <c r="B206" s="263" t="s">
        <v>184</v>
      </c>
      <c r="C206" s="257" t="s">
        <v>202</v>
      </c>
      <c r="D206" s="266">
        <v>2</v>
      </c>
      <c r="E206" s="282">
        <v>107.73</v>
      </c>
      <c r="F206" s="282">
        <f t="shared" si="9"/>
        <v>215.46</v>
      </c>
    </row>
    <row r="207" spans="1:6" ht="62" x14ac:dyDescent="0.35">
      <c r="A207" s="259">
        <v>11</v>
      </c>
      <c r="B207" s="263" t="s">
        <v>260</v>
      </c>
      <c r="C207" s="257" t="s">
        <v>202</v>
      </c>
      <c r="D207" s="266">
        <v>4</v>
      </c>
      <c r="E207" s="282">
        <v>66.14</v>
      </c>
      <c r="F207" s="282">
        <f t="shared" si="9"/>
        <v>264.56</v>
      </c>
    </row>
    <row r="208" spans="1:6" ht="62" x14ac:dyDescent="0.35">
      <c r="A208" s="259">
        <v>12</v>
      </c>
      <c r="B208" s="263" t="s">
        <v>257</v>
      </c>
      <c r="C208" s="257" t="s">
        <v>202</v>
      </c>
      <c r="D208" s="266">
        <v>12</v>
      </c>
      <c r="E208" s="282">
        <v>25.44</v>
      </c>
      <c r="F208" s="282">
        <f t="shared" si="9"/>
        <v>305.28000000000003</v>
      </c>
    </row>
    <row r="209" spans="1:6" ht="31" x14ac:dyDescent="0.35">
      <c r="A209" s="259">
        <v>13</v>
      </c>
      <c r="B209" s="263" t="s">
        <v>183</v>
      </c>
      <c r="C209" s="257" t="s">
        <v>202</v>
      </c>
      <c r="D209" s="266">
        <v>4</v>
      </c>
      <c r="E209" s="282">
        <v>17.079999999999998</v>
      </c>
      <c r="F209" s="282">
        <f t="shared" si="9"/>
        <v>68.319999999999993</v>
      </c>
    </row>
    <row r="210" spans="1:6" ht="46.5" x14ac:dyDescent="0.35">
      <c r="A210" s="259">
        <v>14</v>
      </c>
      <c r="B210" s="263" t="s">
        <v>247</v>
      </c>
      <c r="C210" s="257" t="s">
        <v>202</v>
      </c>
      <c r="D210" s="266">
        <v>4</v>
      </c>
      <c r="E210" s="282">
        <v>34.18</v>
      </c>
      <c r="F210" s="282">
        <f t="shared" si="9"/>
        <v>136.72</v>
      </c>
    </row>
    <row r="211" spans="1:6" ht="46.5" x14ac:dyDescent="0.35">
      <c r="A211" s="259">
        <v>15</v>
      </c>
      <c r="B211" s="263" t="s">
        <v>248</v>
      </c>
      <c r="C211" s="257" t="s">
        <v>202</v>
      </c>
      <c r="D211" s="266">
        <v>4</v>
      </c>
      <c r="E211" s="282">
        <v>23.05</v>
      </c>
      <c r="F211" s="282">
        <f t="shared" si="9"/>
        <v>92.2</v>
      </c>
    </row>
    <row r="212" spans="1:6" ht="46.5" x14ac:dyDescent="0.35">
      <c r="A212" s="259">
        <v>16</v>
      </c>
      <c r="B212" s="263" t="s">
        <v>249</v>
      </c>
      <c r="C212" s="257" t="s">
        <v>202</v>
      </c>
      <c r="D212" s="266">
        <v>4</v>
      </c>
      <c r="E212" s="282">
        <v>40.5</v>
      </c>
      <c r="F212" s="282">
        <f t="shared" si="9"/>
        <v>162</v>
      </c>
    </row>
    <row r="213" spans="1:6" ht="31" x14ac:dyDescent="0.35">
      <c r="A213" s="259">
        <v>17</v>
      </c>
      <c r="B213" s="263" t="s">
        <v>250</v>
      </c>
      <c r="C213" s="257" t="s">
        <v>202</v>
      </c>
      <c r="D213" s="266">
        <v>4</v>
      </c>
      <c r="E213" s="282">
        <v>28.16</v>
      </c>
      <c r="F213" s="282">
        <f t="shared" si="9"/>
        <v>112.64</v>
      </c>
    </row>
    <row r="214" spans="1:6" ht="31" x14ac:dyDescent="0.35">
      <c r="A214" s="259">
        <v>18</v>
      </c>
      <c r="B214" s="263" t="s">
        <v>251</v>
      </c>
      <c r="C214" s="257" t="s">
        <v>202</v>
      </c>
      <c r="D214" s="266">
        <v>4</v>
      </c>
      <c r="E214" s="282">
        <v>26.97</v>
      </c>
      <c r="F214" s="282">
        <f t="shared" si="9"/>
        <v>107.88</v>
      </c>
    </row>
    <row r="215" spans="1:6" ht="31" x14ac:dyDescent="0.35">
      <c r="A215" s="259">
        <v>19</v>
      </c>
      <c r="B215" s="263" t="s">
        <v>252</v>
      </c>
      <c r="C215" s="257" t="s">
        <v>202</v>
      </c>
      <c r="D215" s="266">
        <v>2</v>
      </c>
      <c r="E215" s="282">
        <v>21.59</v>
      </c>
      <c r="F215" s="282">
        <f t="shared" si="9"/>
        <v>43.18</v>
      </c>
    </row>
    <row r="216" spans="1:6" x14ac:dyDescent="0.35">
      <c r="A216" s="259">
        <v>20</v>
      </c>
      <c r="B216" s="263" t="s">
        <v>228</v>
      </c>
      <c r="C216" s="270" t="s">
        <v>202</v>
      </c>
      <c r="D216" s="266">
        <v>1</v>
      </c>
      <c r="E216" s="282">
        <v>62.5</v>
      </c>
      <c r="F216" s="282">
        <f t="shared" ref="F216:F222" si="10">D216*E216</f>
        <v>62.5</v>
      </c>
    </row>
    <row r="217" spans="1:6" ht="46.5" x14ac:dyDescent="0.35">
      <c r="A217" s="259">
        <v>21</v>
      </c>
      <c r="B217" s="265" t="s">
        <v>401</v>
      </c>
      <c r="C217" s="270" t="s">
        <v>202</v>
      </c>
      <c r="D217" s="266">
        <v>1</v>
      </c>
      <c r="E217" s="282">
        <v>257.93</v>
      </c>
      <c r="F217" s="282">
        <f t="shared" si="10"/>
        <v>257.93</v>
      </c>
    </row>
    <row r="218" spans="1:6" ht="62" x14ac:dyDescent="0.35">
      <c r="A218" s="259">
        <v>22</v>
      </c>
      <c r="B218" s="265" t="s">
        <v>229</v>
      </c>
      <c r="C218" s="270" t="s">
        <v>202</v>
      </c>
      <c r="D218" s="266">
        <v>1</v>
      </c>
      <c r="E218" s="282">
        <v>273.66000000000003</v>
      </c>
      <c r="F218" s="282">
        <f t="shared" si="10"/>
        <v>273.66000000000003</v>
      </c>
    </row>
    <row r="219" spans="1:6" ht="62" x14ac:dyDescent="0.35">
      <c r="A219" s="259">
        <v>23</v>
      </c>
      <c r="B219" s="265" t="s">
        <v>230</v>
      </c>
      <c r="C219" s="270" t="s">
        <v>202</v>
      </c>
      <c r="D219" s="266">
        <v>1</v>
      </c>
      <c r="E219" s="282">
        <v>179.7</v>
      </c>
      <c r="F219" s="282">
        <f t="shared" si="10"/>
        <v>179.7</v>
      </c>
    </row>
    <row r="220" spans="1:6" ht="77.5" x14ac:dyDescent="0.35">
      <c r="A220" s="259">
        <v>24</v>
      </c>
      <c r="B220" s="265" t="s">
        <v>221</v>
      </c>
      <c r="C220" s="270" t="s">
        <v>202</v>
      </c>
      <c r="D220" s="266">
        <v>2</v>
      </c>
      <c r="E220" s="282">
        <v>38.85</v>
      </c>
      <c r="F220" s="282">
        <f t="shared" si="10"/>
        <v>77.7</v>
      </c>
    </row>
    <row r="221" spans="1:6" ht="31" x14ac:dyDescent="0.35">
      <c r="A221" s="259">
        <v>25</v>
      </c>
      <c r="B221" s="263" t="s">
        <v>222</v>
      </c>
      <c r="C221" s="270" t="s">
        <v>202</v>
      </c>
      <c r="D221" s="266">
        <v>1</v>
      </c>
      <c r="E221" s="282">
        <v>40.43</v>
      </c>
      <c r="F221" s="282">
        <f t="shared" si="10"/>
        <v>40.43</v>
      </c>
    </row>
    <row r="222" spans="1:6" x14ac:dyDescent="0.35">
      <c r="A222" s="259">
        <v>26</v>
      </c>
      <c r="B222" s="263" t="s">
        <v>223</v>
      </c>
      <c r="C222" s="270" t="s">
        <v>202</v>
      </c>
      <c r="D222" s="266">
        <v>1</v>
      </c>
      <c r="E222" s="282">
        <v>34.14</v>
      </c>
      <c r="F222" s="282">
        <f t="shared" si="10"/>
        <v>34.14</v>
      </c>
    </row>
    <row r="223" spans="1:6" x14ac:dyDescent="0.35">
      <c r="A223" s="454"/>
      <c r="B223" s="454"/>
      <c r="C223" s="454"/>
      <c r="D223" s="454"/>
      <c r="E223" s="454"/>
      <c r="F223" s="298">
        <f>SUM(F197:F222)</f>
        <v>3446.5799999999986</v>
      </c>
    </row>
    <row r="224" spans="1:6" x14ac:dyDescent="0.35">
      <c r="A224" s="440" t="s">
        <v>310</v>
      </c>
      <c r="B224" s="440"/>
      <c r="C224" s="440"/>
      <c r="D224" s="440"/>
      <c r="E224" s="440"/>
      <c r="F224" s="126">
        <f>F223/2</f>
        <v>1723.2899999999993</v>
      </c>
    </row>
    <row r="225" spans="1:6" x14ac:dyDescent="0.35">
      <c r="A225" s="440" t="s">
        <v>304</v>
      </c>
      <c r="B225" s="440"/>
      <c r="C225" s="440"/>
      <c r="D225" s="440"/>
      <c r="E225" s="440"/>
      <c r="F225" s="126">
        <f>F224/12</f>
        <v>143.60749999999993</v>
      </c>
    </row>
    <row r="226" spans="1:6" x14ac:dyDescent="0.35">
      <c r="A226" s="441" t="s">
        <v>311</v>
      </c>
      <c r="B226" s="441"/>
      <c r="C226" s="441"/>
      <c r="D226" s="441"/>
      <c r="E226" s="441"/>
      <c r="F226" s="280">
        <f>F225/1</f>
        <v>143.60749999999993</v>
      </c>
    </row>
    <row r="229" spans="1:6" ht="23.25" customHeight="1" x14ac:dyDescent="0.35">
      <c r="A229" s="442" t="s">
        <v>410</v>
      </c>
      <c r="B229" s="442"/>
      <c r="C229" s="442"/>
      <c r="D229" s="442"/>
      <c r="E229" s="442"/>
      <c r="F229" s="442"/>
    </row>
    <row r="230" spans="1:6" ht="31" x14ac:dyDescent="0.35">
      <c r="A230" s="443" t="s">
        <v>310</v>
      </c>
      <c r="B230" s="443"/>
      <c r="C230" s="443"/>
      <c r="D230" s="281" t="s">
        <v>254</v>
      </c>
      <c r="E230" s="444" t="s">
        <v>226</v>
      </c>
      <c r="F230" s="444" t="s">
        <v>227</v>
      </c>
    </row>
    <row r="231" spans="1:6" ht="31" x14ac:dyDescent="0.35">
      <c r="A231" s="262" t="s">
        <v>54</v>
      </c>
      <c r="B231" s="262" t="s">
        <v>104</v>
      </c>
      <c r="C231" s="262" t="s">
        <v>99</v>
      </c>
      <c r="D231" s="281" t="s">
        <v>190</v>
      </c>
      <c r="E231" s="444"/>
      <c r="F231" s="444"/>
    </row>
    <row r="232" spans="1:6" ht="62" x14ac:dyDescent="0.35">
      <c r="A232" s="259">
        <v>1</v>
      </c>
      <c r="B232" s="263" t="s">
        <v>235</v>
      </c>
      <c r="C232" s="257" t="s">
        <v>202</v>
      </c>
      <c r="D232" s="266">
        <v>2</v>
      </c>
      <c r="E232" s="282">
        <v>14.47</v>
      </c>
      <c r="F232" s="282">
        <f>D232*E232</f>
        <v>28.94</v>
      </c>
    </row>
    <row r="233" spans="1:6" ht="31" x14ac:dyDescent="0.35">
      <c r="A233" s="259">
        <v>2</v>
      </c>
      <c r="B233" s="263" t="s">
        <v>236</v>
      </c>
      <c r="C233" s="257" t="s">
        <v>202</v>
      </c>
      <c r="D233" s="266">
        <v>2</v>
      </c>
      <c r="E233" s="282">
        <v>9.8000000000000007</v>
      </c>
      <c r="F233" s="282">
        <f t="shared" ref="F233:F246" si="11">D233*E233</f>
        <v>19.600000000000001</v>
      </c>
    </row>
    <row r="234" spans="1:6" ht="93" x14ac:dyDescent="0.35">
      <c r="A234" s="259">
        <v>3</v>
      </c>
      <c r="B234" s="265" t="s">
        <v>255</v>
      </c>
      <c r="C234" s="257" t="s">
        <v>202</v>
      </c>
      <c r="D234" s="266">
        <v>2</v>
      </c>
      <c r="E234" s="282">
        <v>44.97</v>
      </c>
      <c r="F234" s="282">
        <f t="shared" si="11"/>
        <v>89.94</v>
      </c>
    </row>
    <row r="235" spans="1:6" ht="31" x14ac:dyDescent="0.35">
      <c r="A235" s="259">
        <v>4</v>
      </c>
      <c r="B235" s="263" t="s">
        <v>238</v>
      </c>
      <c r="C235" s="257" t="s">
        <v>202</v>
      </c>
      <c r="D235" s="266">
        <v>2</v>
      </c>
      <c r="E235" s="282">
        <v>13.23</v>
      </c>
      <c r="F235" s="282">
        <f t="shared" si="11"/>
        <v>26.46</v>
      </c>
    </row>
    <row r="236" spans="1:6" ht="46.5" x14ac:dyDescent="0.35">
      <c r="A236" s="259">
        <v>5</v>
      </c>
      <c r="B236" s="263" t="s">
        <v>239</v>
      </c>
      <c r="C236" s="257" t="s">
        <v>202</v>
      </c>
      <c r="D236" s="266">
        <v>2</v>
      </c>
      <c r="E236" s="282">
        <v>13.06</v>
      </c>
      <c r="F236" s="282">
        <f t="shared" si="11"/>
        <v>26.12</v>
      </c>
    </row>
    <row r="237" spans="1:6" ht="31" x14ac:dyDescent="0.35">
      <c r="A237" s="259">
        <v>6</v>
      </c>
      <c r="B237" s="265" t="s">
        <v>256</v>
      </c>
      <c r="C237" s="257" t="s">
        <v>202</v>
      </c>
      <c r="D237" s="266">
        <v>4</v>
      </c>
      <c r="E237" s="282">
        <v>50.71</v>
      </c>
      <c r="F237" s="282">
        <f t="shared" si="11"/>
        <v>202.84</v>
      </c>
    </row>
    <row r="238" spans="1:6" ht="46.5" x14ac:dyDescent="0.35">
      <c r="A238" s="259">
        <v>7</v>
      </c>
      <c r="B238" s="265" t="s">
        <v>241</v>
      </c>
      <c r="C238" s="266" t="s">
        <v>202</v>
      </c>
      <c r="D238" s="266">
        <v>4</v>
      </c>
      <c r="E238" s="282">
        <v>44.95</v>
      </c>
      <c r="F238" s="282">
        <f t="shared" si="11"/>
        <v>179.8</v>
      </c>
    </row>
    <row r="239" spans="1:6" ht="31" x14ac:dyDescent="0.35">
      <c r="A239" s="259">
        <v>8</v>
      </c>
      <c r="B239" s="263" t="s">
        <v>242</v>
      </c>
      <c r="C239" s="257" t="s">
        <v>202</v>
      </c>
      <c r="D239" s="266">
        <v>2</v>
      </c>
      <c r="E239" s="282">
        <v>5.47</v>
      </c>
      <c r="F239" s="282">
        <f t="shared" si="11"/>
        <v>10.94</v>
      </c>
    </row>
    <row r="240" spans="1:6" ht="31" x14ac:dyDescent="0.35">
      <c r="A240" s="259">
        <v>9</v>
      </c>
      <c r="B240" s="263" t="s">
        <v>105</v>
      </c>
      <c r="C240" s="257" t="s">
        <v>202</v>
      </c>
      <c r="D240" s="266">
        <v>4</v>
      </c>
      <c r="E240" s="282">
        <v>14.48</v>
      </c>
      <c r="F240" s="282">
        <f t="shared" si="11"/>
        <v>57.92</v>
      </c>
    </row>
    <row r="241" spans="1:6" ht="62" x14ac:dyDescent="0.35">
      <c r="A241" s="259">
        <v>10</v>
      </c>
      <c r="B241" s="263" t="s">
        <v>184</v>
      </c>
      <c r="C241" s="257" t="s">
        <v>202</v>
      </c>
      <c r="D241" s="266">
        <v>2</v>
      </c>
      <c r="E241" s="282">
        <v>107.73</v>
      </c>
      <c r="F241" s="282">
        <f t="shared" si="11"/>
        <v>215.46</v>
      </c>
    </row>
    <row r="242" spans="1:6" ht="62" x14ac:dyDescent="0.35">
      <c r="A242" s="259">
        <v>11</v>
      </c>
      <c r="B242" s="263" t="s">
        <v>244</v>
      </c>
      <c r="C242" s="257" t="s">
        <v>202</v>
      </c>
      <c r="D242" s="266">
        <v>2</v>
      </c>
      <c r="E242" s="282">
        <v>66.14</v>
      </c>
      <c r="F242" s="282">
        <f t="shared" si="11"/>
        <v>132.28</v>
      </c>
    </row>
    <row r="243" spans="1:6" ht="62" x14ac:dyDescent="0.35">
      <c r="A243" s="259">
        <v>12</v>
      </c>
      <c r="B243" s="263" t="s">
        <v>257</v>
      </c>
      <c r="C243" s="257" t="s">
        <v>202</v>
      </c>
      <c r="D243" s="266">
        <v>4</v>
      </c>
      <c r="E243" s="282">
        <v>25.44</v>
      </c>
      <c r="F243" s="282">
        <f t="shared" si="11"/>
        <v>101.76</v>
      </c>
    </row>
    <row r="244" spans="1:6" ht="31" x14ac:dyDescent="0.35">
      <c r="A244" s="259">
        <v>13</v>
      </c>
      <c r="B244" s="263" t="s">
        <v>183</v>
      </c>
      <c r="C244" s="257" t="s">
        <v>202</v>
      </c>
      <c r="D244" s="266">
        <v>2</v>
      </c>
      <c r="E244" s="282">
        <v>17.079999999999998</v>
      </c>
      <c r="F244" s="282">
        <f t="shared" si="11"/>
        <v>34.159999999999997</v>
      </c>
    </row>
    <row r="245" spans="1:6" ht="46.5" x14ac:dyDescent="0.35">
      <c r="A245" s="259">
        <v>14</v>
      </c>
      <c r="B245" s="263" t="s">
        <v>247</v>
      </c>
      <c r="C245" s="257" t="s">
        <v>202</v>
      </c>
      <c r="D245" s="266">
        <v>2</v>
      </c>
      <c r="E245" s="282">
        <v>34.18</v>
      </c>
      <c r="F245" s="282">
        <f t="shared" si="11"/>
        <v>68.36</v>
      </c>
    </row>
    <row r="246" spans="1:6" ht="46.5" x14ac:dyDescent="0.35">
      <c r="A246" s="259">
        <v>15</v>
      </c>
      <c r="B246" s="263" t="s">
        <v>248</v>
      </c>
      <c r="C246" s="266" t="s">
        <v>202</v>
      </c>
      <c r="D246" s="266">
        <v>2</v>
      </c>
      <c r="E246" s="282">
        <v>23.05</v>
      </c>
      <c r="F246" s="282">
        <f t="shared" si="11"/>
        <v>46.1</v>
      </c>
    </row>
    <row r="247" spans="1:6" ht="46.5" x14ac:dyDescent="0.35">
      <c r="A247" s="259">
        <v>16</v>
      </c>
      <c r="B247" s="265" t="s">
        <v>249</v>
      </c>
      <c r="C247" s="257" t="s">
        <v>202</v>
      </c>
      <c r="D247" s="266">
        <v>2</v>
      </c>
      <c r="E247" s="282">
        <v>40.5</v>
      </c>
      <c r="F247" s="282">
        <f>D247*E247</f>
        <v>81</v>
      </c>
    </row>
    <row r="248" spans="1:6" ht="31" x14ac:dyDescent="0.35">
      <c r="A248" s="259">
        <v>17</v>
      </c>
      <c r="B248" s="263" t="s">
        <v>250</v>
      </c>
      <c r="C248" s="257" t="s">
        <v>202</v>
      </c>
      <c r="D248" s="266">
        <v>2</v>
      </c>
      <c r="E248" s="282">
        <v>28.16</v>
      </c>
      <c r="F248" s="282">
        <f t="shared" ref="F248:F253" si="12">D248*E248</f>
        <v>56.32</v>
      </c>
    </row>
    <row r="249" spans="1:6" ht="31" x14ac:dyDescent="0.35">
      <c r="A249" s="259">
        <v>18</v>
      </c>
      <c r="B249" s="263" t="s">
        <v>251</v>
      </c>
      <c r="C249" s="257" t="s">
        <v>202</v>
      </c>
      <c r="D249" s="266">
        <v>2</v>
      </c>
      <c r="E249" s="282">
        <v>26.97</v>
      </c>
      <c r="F249" s="282">
        <f t="shared" si="12"/>
        <v>53.94</v>
      </c>
    </row>
    <row r="250" spans="1:6" ht="31" x14ac:dyDescent="0.35">
      <c r="A250" s="259">
        <v>19</v>
      </c>
      <c r="B250" s="263" t="s">
        <v>252</v>
      </c>
      <c r="C250" s="257" t="s">
        <v>202</v>
      </c>
      <c r="D250" s="266">
        <v>1</v>
      </c>
      <c r="E250" s="282">
        <v>21.59</v>
      </c>
      <c r="F250" s="282">
        <f t="shared" si="12"/>
        <v>21.59</v>
      </c>
    </row>
    <row r="251" spans="1:6" ht="42.75" customHeight="1" x14ac:dyDescent="0.35">
      <c r="A251" s="259">
        <v>20</v>
      </c>
      <c r="B251" s="269" t="s">
        <v>216</v>
      </c>
      <c r="C251" s="274" t="s">
        <v>202</v>
      </c>
      <c r="D251" s="267">
        <v>1</v>
      </c>
      <c r="E251" s="283">
        <v>212.49</v>
      </c>
      <c r="F251" s="283">
        <f t="shared" si="12"/>
        <v>212.49</v>
      </c>
    </row>
    <row r="252" spans="1:6" ht="77.25" customHeight="1" x14ac:dyDescent="0.35">
      <c r="A252" s="259">
        <v>21</v>
      </c>
      <c r="B252" s="271" t="s">
        <v>220</v>
      </c>
      <c r="C252" s="270" t="s">
        <v>202</v>
      </c>
      <c r="D252" s="267">
        <v>1</v>
      </c>
      <c r="E252" s="283">
        <v>179.7</v>
      </c>
      <c r="F252" s="283">
        <f t="shared" si="12"/>
        <v>179.7</v>
      </c>
    </row>
    <row r="253" spans="1:6" ht="87" customHeight="1" x14ac:dyDescent="0.35">
      <c r="A253" s="259">
        <v>22</v>
      </c>
      <c r="B253" s="271" t="s">
        <v>221</v>
      </c>
      <c r="C253" s="270" t="s">
        <v>202</v>
      </c>
      <c r="D253" s="267">
        <v>1</v>
      </c>
      <c r="E253" s="283">
        <v>38.85</v>
      </c>
      <c r="F253" s="283">
        <f t="shared" si="12"/>
        <v>38.85</v>
      </c>
    </row>
    <row r="254" spans="1:6" x14ac:dyDescent="0.35">
      <c r="A254" s="445"/>
      <c r="B254" s="445"/>
      <c r="C254" s="445"/>
      <c r="D254" s="445"/>
      <c r="E254" s="445"/>
      <c r="F254" s="284">
        <f>SUM(F232:F253)</f>
        <v>1884.57</v>
      </c>
    </row>
    <row r="255" spans="1:6" x14ac:dyDescent="0.35">
      <c r="A255" s="440" t="s">
        <v>310</v>
      </c>
      <c r="B255" s="440"/>
      <c r="C255" s="440"/>
      <c r="D255" s="440"/>
      <c r="E255" s="440"/>
      <c r="F255" s="126">
        <f>F254/2</f>
        <v>942.28499999999997</v>
      </c>
    </row>
    <row r="256" spans="1:6" x14ac:dyDescent="0.35">
      <c r="A256" s="440" t="s">
        <v>304</v>
      </c>
      <c r="B256" s="440"/>
      <c r="C256" s="440"/>
      <c r="D256" s="440"/>
      <c r="E256" s="440"/>
      <c r="F256" s="126">
        <f>F255/12</f>
        <v>78.523749999999993</v>
      </c>
    </row>
    <row r="257" spans="1:6" x14ac:dyDescent="0.35">
      <c r="A257" s="441" t="s">
        <v>311</v>
      </c>
      <c r="B257" s="441"/>
      <c r="C257" s="441"/>
      <c r="D257" s="441"/>
      <c r="E257" s="441"/>
      <c r="F257" s="280">
        <f>F256/1</f>
        <v>78.523749999999993</v>
      </c>
    </row>
  </sheetData>
  <mergeCells count="51">
    <mergeCell ref="A224:E224"/>
    <mergeCell ref="A225:E225"/>
    <mergeCell ref="A226:E226"/>
    <mergeCell ref="A121:E121"/>
    <mergeCell ref="A122:E122"/>
    <mergeCell ref="A156:E156"/>
    <mergeCell ref="A157:E157"/>
    <mergeCell ref="A188:E188"/>
    <mergeCell ref="A189:E189"/>
    <mergeCell ref="A190:E190"/>
    <mergeCell ref="A191:E191"/>
    <mergeCell ref="A223:E223"/>
    <mergeCell ref="A120:E120"/>
    <mergeCell ref="A127:F127"/>
    <mergeCell ref="A123:E123"/>
    <mergeCell ref="A154:E154"/>
    <mergeCell ref="A155:E155"/>
    <mergeCell ref="A86:E86"/>
    <mergeCell ref="A40:F40"/>
    <mergeCell ref="A65:E65"/>
    <mergeCell ref="A34:E34"/>
    <mergeCell ref="A35:E35"/>
    <mergeCell ref="A36:E36"/>
    <mergeCell ref="A66:E66"/>
    <mergeCell ref="A67:E67"/>
    <mergeCell ref="A68:E68"/>
    <mergeCell ref="A72:F72"/>
    <mergeCell ref="A1:F1"/>
    <mergeCell ref="A73:C73"/>
    <mergeCell ref="E73:E74"/>
    <mergeCell ref="F73:F74"/>
    <mergeCell ref="A195:F195"/>
    <mergeCell ref="A2:C2"/>
    <mergeCell ref="E2:E3"/>
    <mergeCell ref="F2:F3"/>
    <mergeCell ref="A87:E87"/>
    <mergeCell ref="A88:E88"/>
    <mergeCell ref="A89:E89"/>
    <mergeCell ref="E41:E42"/>
    <mergeCell ref="F41:F42"/>
    <mergeCell ref="A41:C41"/>
    <mergeCell ref="A161:F161"/>
    <mergeCell ref="A92:F92"/>
    <mergeCell ref="A255:E255"/>
    <mergeCell ref="A256:E256"/>
    <mergeCell ref="A257:E257"/>
    <mergeCell ref="A229:F229"/>
    <mergeCell ref="A230:C230"/>
    <mergeCell ref="E230:E231"/>
    <mergeCell ref="F230:F231"/>
    <mergeCell ref="A254:E2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89"/>
  <sheetViews>
    <sheetView showGridLines="0" topLeftCell="A71" workbookViewId="0">
      <selection activeCell="A80" sqref="A80"/>
    </sheetView>
  </sheetViews>
  <sheetFormatPr defaultColWidth="8.81640625" defaultRowHeight="13" x14ac:dyDescent="0.3"/>
  <cols>
    <col min="1" max="1" width="20.453125" style="5" bestFit="1" customWidth="1"/>
    <col min="2" max="2" width="49.1796875" style="84" customWidth="1"/>
    <col min="3" max="3" width="16.54296875" style="5" bestFit="1" customWidth="1"/>
    <col min="4" max="5" width="14.26953125" style="5" bestFit="1" customWidth="1"/>
    <col min="6" max="6" width="26" style="81" bestFit="1" customWidth="1"/>
    <col min="7" max="7" width="26" style="5" bestFit="1" customWidth="1"/>
    <col min="8" max="8" width="15.1796875" style="5" bestFit="1" customWidth="1"/>
    <col min="9" max="10" width="11.26953125" style="5" bestFit="1" customWidth="1"/>
    <col min="11" max="11" width="10.7265625" style="5" bestFit="1" customWidth="1"/>
    <col min="12" max="16384" width="8.81640625" style="5"/>
  </cols>
  <sheetData>
    <row r="1" spans="1:6" ht="20.25" customHeight="1" x14ac:dyDescent="0.3">
      <c r="A1" s="420" t="s">
        <v>211</v>
      </c>
      <c r="B1" s="420"/>
      <c r="C1" s="420"/>
      <c r="D1" s="420"/>
      <c r="E1" s="420"/>
      <c r="F1" s="420"/>
    </row>
    <row r="2" spans="1:6" x14ac:dyDescent="0.3">
      <c r="A2" s="410"/>
      <c r="B2" s="410"/>
      <c r="C2" s="457" t="s">
        <v>212</v>
      </c>
      <c r="D2" s="457"/>
      <c r="E2" s="458" t="s">
        <v>186</v>
      </c>
      <c r="F2" s="458" t="s">
        <v>187</v>
      </c>
    </row>
    <row r="3" spans="1:6" x14ac:dyDescent="0.3">
      <c r="A3" s="144" t="s">
        <v>54</v>
      </c>
      <c r="B3" s="140" t="s">
        <v>224</v>
      </c>
      <c r="C3" s="144" t="s">
        <v>99</v>
      </c>
      <c r="D3" s="149" t="s">
        <v>188</v>
      </c>
      <c r="E3" s="458"/>
      <c r="F3" s="458"/>
    </row>
    <row r="4" spans="1:6" ht="39" x14ac:dyDescent="0.3">
      <c r="A4" s="145">
        <v>1</v>
      </c>
      <c r="B4" s="122" t="s">
        <v>214</v>
      </c>
      <c r="C4" s="146" t="s">
        <v>202</v>
      </c>
      <c r="D4" s="80">
        <v>1</v>
      </c>
      <c r="E4" s="147">
        <v>528.23</v>
      </c>
      <c r="F4" s="147">
        <f>D4*E4</f>
        <v>528.23</v>
      </c>
    </row>
    <row r="5" spans="1:6" x14ac:dyDescent="0.3">
      <c r="A5" s="145">
        <v>2</v>
      </c>
      <c r="B5" s="31" t="s">
        <v>215</v>
      </c>
      <c r="C5" s="146" t="s">
        <v>202</v>
      </c>
      <c r="D5" s="80">
        <v>1</v>
      </c>
      <c r="E5" s="147">
        <v>223.49</v>
      </c>
      <c r="F5" s="147">
        <f>D5*E5</f>
        <v>223.49</v>
      </c>
    </row>
    <row r="6" spans="1:6" x14ac:dyDescent="0.3">
      <c r="A6" s="145">
        <v>3</v>
      </c>
      <c r="B6" s="122" t="s">
        <v>217</v>
      </c>
      <c r="C6" s="146" t="s">
        <v>202</v>
      </c>
      <c r="D6" s="80">
        <v>1</v>
      </c>
      <c r="E6" s="147">
        <v>1475.06</v>
      </c>
      <c r="F6" s="147">
        <f>D6*E6</f>
        <v>1475.06</v>
      </c>
    </row>
    <row r="7" spans="1:6" ht="26" x14ac:dyDescent="0.3">
      <c r="A7" s="312">
        <v>4</v>
      </c>
      <c r="B7" s="123" t="s">
        <v>302</v>
      </c>
      <c r="C7" s="146" t="s">
        <v>202</v>
      </c>
      <c r="D7" s="80">
        <v>1</v>
      </c>
      <c r="E7" s="147">
        <v>257.93</v>
      </c>
      <c r="F7" s="147">
        <f>D7*E7</f>
        <v>257.93</v>
      </c>
    </row>
    <row r="8" spans="1:6" s="317" customFormat="1" x14ac:dyDescent="0.3">
      <c r="A8" s="311">
        <v>5</v>
      </c>
      <c r="B8" s="316" t="s">
        <v>413</v>
      </c>
      <c r="C8" s="313" t="s">
        <v>202</v>
      </c>
      <c r="D8" s="314">
        <v>4</v>
      </c>
      <c r="E8" s="315">
        <v>405.18</v>
      </c>
      <c r="F8" s="315">
        <f>D8*E8</f>
        <v>1620.72</v>
      </c>
    </row>
    <row r="9" spans="1:6" ht="14.5" customHeight="1" x14ac:dyDescent="0.3">
      <c r="A9" s="459"/>
      <c r="B9" s="459"/>
      <c r="C9" s="459"/>
      <c r="D9" s="459"/>
      <c r="E9" s="459"/>
      <c r="F9" s="148">
        <f>SUM(F4:F8)</f>
        <v>4105.4299999999994</v>
      </c>
    </row>
    <row r="10" spans="1:6" x14ac:dyDescent="0.3">
      <c r="A10" s="455" t="s">
        <v>301</v>
      </c>
      <c r="B10" s="455"/>
      <c r="C10" s="455"/>
      <c r="D10" s="455"/>
      <c r="E10" s="455"/>
      <c r="F10" s="83">
        <f>F9/5</f>
        <v>821.0859999999999</v>
      </c>
    </row>
    <row r="11" spans="1:6" x14ac:dyDescent="0.3">
      <c r="A11" s="455" t="s">
        <v>304</v>
      </c>
      <c r="B11" s="455"/>
      <c r="C11" s="455"/>
      <c r="D11" s="455"/>
      <c r="E11" s="455"/>
      <c r="F11" s="83">
        <f>F10/12</f>
        <v>68.42383333333332</v>
      </c>
    </row>
    <row r="12" spans="1:6" x14ac:dyDescent="0.3">
      <c r="A12" s="456" t="s">
        <v>305</v>
      </c>
      <c r="B12" s="456"/>
      <c r="C12" s="456"/>
      <c r="D12" s="456"/>
      <c r="E12" s="456"/>
      <c r="F12" s="150">
        <f>F11/8</f>
        <v>8.552979166666665</v>
      </c>
    </row>
    <row r="15" spans="1:6" x14ac:dyDescent="0.3">
      <c r="A15" s="435" t="s">
        <v>412</v>
      </c>
      <c r="B15" s="435"/>
      <c r="C15" s="435"/>
      <c r="D15" s="435"/>
      <c r="E15" s="435"/>
      <c r="F15" s="435"/>
    </row>
    <row r="16" spans="1:6" ht="26" x14ac:dyDescent="0.3">
      <c r="A16" s="162" t="s">
        <v>54</v>
      </c>
      <c r="B16" s="177" t="s">
        <v>224</v>
      </c>
      <c r="C16" s="162" t="s">
        <v>99</v>
      </c>
      <c r="D16" s="179" t="s">
        <v>324</v>
      </c>
      <c r="E16" s="162" t="s">
        <v>226</v>
      </c>
      <c r="F16" s="162" t="s">
        <v>227</v>
      </c>
    </row>
    <row r="17" spans="1:6" s="127" customFormat="1" ht="15.5" x14ac:dyDescent="0.35">
      <c r="A17" s="318">
        <v>1</v>
      </c>
      <c r="B17" s="316" t="s">
        <v>413</v>
      </c>
      <c r="C17" s="313" t="s">
        <v>202</v>
      </c>
      <c r="D17" s="314">
        <v>1</v>
      </c>
      <c r="E17" s="315">
        <v>405.18</v>
      </c>
      <c r="F17" s="315">
        <f>D17*E17</f>
        <v>405.18</v>
      </c>
    </row>
    <row r="18" spans="1:6" ht="15" customHeight="1" x14ac:dyDescent="0.3">
      <c r="A18" s="410"/>
      <c r="B18" s="410"/>
      <c r="C18" s="410"/>
      <c r="D18" s="410"/>
      <c r="E18" s="410"/>
      <c r="F18" s="164">
        <f>SUM(F17:F17)</f>
        <v>405.18</v>
      </c>
    </row>
    <row r="19" spans="1:6" x14ac:dyDescent="0.3">
      <c r="A19" s="455" t="s">
        <v>301</v>
      </c>
      <c r="B19" s="455"/>
      <c r="C19" s="455"/>
      <c r="D19" s="455"/>
      <c r="E19" s="455"/>
      <c r="F19" s="83">
        <f>F18/5</f>
        <v>81.036000000000001</v>
      </c>
    </row>
    <row r="20" spans="1:6" x14ac:dyDescent="0.3">
      <c r="A20" s="455" t="s">
        <v>304</v>
      </c>
      <c r="B20" s="455"/>
      <c r="C20" s="455"/>
      <c r="D20" s="455"/>
      <c r="E20" s="455"/>
      <c r="F20" s="83">
        <f>F19/12</f>
        <v>6.7530000000000001</v>
      </c>
    </row>
    <row r="21" spans="1:6" x14ac:dyDescent="0.3">
      <c r="A21" s="456" t="s">
        <v>311</v>
      </c>
      <c r="B21" s="456"/>
      <c r="C21" s="456"/>
      <c r="D21" s="456"/>
      <c r="E21" s="456"/>
      <c r="F21" s="150">
        <f>F20/1</f>
        <v>6.7530000000000001</v>
      </c>
    </row>
    <row r="24" spans="1:6" x14ac:dyDescent="0.3">
      <c r="A24" s="435" t="s">
        <v>415</v>
      </c>
      <c r="B24" s="435"/>
      <c r="C24" s="435"/>
      <c r="D24" s="435"/>
      <c r="E24" s="435"/>
      <c r="F24" s="435"/>
    </row>
    <row r="25" spans="1:6" ht="26" x14ac:dyDescent="0.3">
      <c r="A25" s="162" t="s">
        <v>54</v>
      </c>
      <c r="B25" s="177" t="s">
        <v>224</v>
      </c>
      <c r="C25" s="162" t="s">
        <v>99</v>
      </c>
      <c r="D25" s="179" t="s">
        <v>324</v>
      </c>
      <c r="E25" s="162" t="s">
        <v>226</v>
      </c>
      <c r="F25" s="162" t="s">
        <v>227</v>
      </c>
    </row>
    <row r="26" spans="1:6" ht="39" x14ac:dyDescent="0.3">
      <c r="A26" s="302">
        <v>1</v>
      </c>
      <c r="B26" s="322" t="s">
        <v>214</v>
      </c>
      <c r="C26" s="319" t="s">
        <v>202</v>
      </c>
      <c r="D26" s="314">
        <v>1</v>
      </c>
      <c r="E26" s="323">
        <v>528.23</v>
      </c>
      <c r="F26" s="323">
        <f>D26*E26</f>
        <v>528.23</v>
      </c>
    </row>
    <row r="27" spans="1:6" s="127" customFormat="1" ht="15.5" x14ac:dyDescent="0.35">
      <c r="A27" s="318">
        <v>2</v>
      </c>
      <c r="B27" s="316" t="s">
        <v>413</v>
      </c>
      <c r="C27" s="313" t="s">
        <v>202</v>
      </c>
      <c r="D27" s="314">
        <v>1</v>
      </c>
      <c r="E27" s="315">
        <v>405.18</v>
      </c>
      <c r="F27" s="315">
        <f>D27*E27</f>
        <v>405.18</v>
      </c>
    </row>
    <row r="28" spans="1:6" ht="15" customHeight="1" x14ac:dyDescent="0.3">
      <c r="A28" s="410"/>
      <c r="B28" s="410"/>
      <c r="C28" s="410"/>
      <c r="D28" s="410"/>
      <c r="E28" s="410"/>
      <c r="F28" s="164">
        <f>SUM(F26:F27)</f>
        <v>933.41000000000008</v>
      </c>
    </row>
    <row r="29" spans="1:6" x14ac:dyDescent="0.3">
      <c r="A29" s="455" t="s">
        <v>301</v>
      </c>
      <c r="B29" s="455"/>
      <c r="C29" s="455"/>
      <c r="D29" s="455"/>
      <c r="E29" s="455"/>
      <c r="F29" s="83">
        <f>F28/5</f>
        <v>186.68200000000002</v>
      </c>
    </row>
    <row r="30" spans="1:6" x14ac:dyDescent="0.3">
      <c r="A30" s="455" t="s">
        <v>304</v>
      </c>
      <c r="B30" s="455"/>
      <c r="C30" s="455"/>
      <c r="D30" s="455"/>
      <c r="E30" s="455"/>
      <c r="F30" s="83">
        <f>F29/12</f>
        <v>15.556833333333335</v>
      </c>
    </row>
    <row r="31" spans="1:6" x14ac:dyDescent="0.3">
      <c r="A31" s="456" t="s">
        <v>311</v>
      </c>
      <c r="B31" s="456"/>
      <c r="C31" s="456"/>
      <c r="D31" s="456"/>
      <c r="E31" s="456"/>
      <c r="F31" s="150">
        <f>F30/1</f>
        <v>15.556833333333335</v>
      </c>
    </row>
    <row r="34" spans="1:14" x14ac:dyDescent="0.3">
      <c r="A34" s="435" t="s">
        <v>231</v>
      </c>
      <c r="B34" s="435"/>
      <c r="C34" s="435"/>
      <c r="D34" s="435"/>
      <c r="E34" s="435"/>
      <c r="F34" s="435"/>
    </row>
    <row r="35" spans="1:14" ht="26" x14ac:dyDescent="0.3">
      <c r="A35" s="162" t="s">
        <v>54</v>
      </c>
      <c r="B35" s="177" t="s">
        <v>224</v>
      </c>
      <c r="C35" s="162" t="s">
        <v>99</v>
      </c>
      <c r="D35" s="179" t="s">
        <v>324</v>
      </c>
      <c r="E35" s="162" t="s">
        <v>226</v>
      </c>
      <c r="F35" s="162" t="s">
        <v>227</v>
      </c>
    </row>
    <row r="36" spans="1:14" ht="39" x14ac:dyDescent="0.3">
      <c r="A36" s="176">
        <v>1</v>
      </c>
      <c r="B36" s="166" t="s">
        <v>214</v>
      </c>
      <c r="C36" s="175" t="s">
        <v>202</v>
      </c>
      <c r="D36" s="153">
        <v>1</v>
      </c>
      <c r="E36" s="163">
        <v>528.23</v>
      </c>
      <c r="F36" s="163">
        <f>D36*E36</f>
        <v>528.23</v>
      </c>
    </row>
    <row r="37" spans="1:14" x14ac:dyDescent="0.3">
      <c r="A37" s="176">
        <v>2</v>
      </c>
      <c r="B37" s="166" t="s">
        <v>217</v>
      </c>
      <c r="C37" s="175" t="s">
        <v>202</v>
      </c>
      <c r="D37" s="153">
        <v>1</v>
      </c>
      <c r="E37" s="163">
        <v>1475.06</v>
      </c>
      <c r="F37" s="163">
        <f>D37*E37</f>
        <v>1475.06</v>
      </c>
    </row>
    <row r="38" spans="1:14" ht="26" x14ac:dyDescent="0.3">
      <c r="A38" s="176">
        <v>3</v>
      </c>
      <c r="B38" s="166" t="s">
        <v>303</v>
      </c>
      <c r="C38" s="175" t="s">
        <v>202</v>
      </c>
      <c r="D38" s="153">
        <v>1</v>
      </c>
      <c r="E38" s="163">
        <v>257.93</v>
      </c>
      <c r="F38" s="163">
        <f>D38*E38</f>
        <v>257.93</v>
      </c>
    </row>
    <row r="39" spans="1:14" x14ac:dyDescent="0.3">
      <c r="A39" s="22">
        <v>4</v>
      </c>
      <c r="B39" s="316" t="s">
        <v>413</v>
      </c>
      <c r="C39" s="313" t="s">
        <v>202</v>
      </c>
      <c r="D39" s="314">
        <v>3</v>
      </c>
      <c r="E39" s="315">
        <v>405.18</v>
      </c>
      <c r="F39" s="163">
        <f>D39*E39</f>
        <v>1215.54</v>
      </c>
    </row>
    <row r="40" spans="1:14" ht="15" customHeight="1" x14ac:dyDescent="0.3">
      <c r="A40" s="410"/>
      <c r="B40" s="410"/>
      <c r="C40" s="410"/>
      <c r="D40" s="410"/>
      <c r="E40" s="410"/>
      <c r="F40" s="164">
        <f>SUM(F36:F39)</f>
        <v>3476.7599999999998</v>
      </c>
    </row>
    <row r="41" spans="1:14" x14ac:dyDescent="0.3">
      <c r="A41" s="455" t="s">
        <v>301</v>
      </c>
      <c r="B41" s="455"/>
      <c r="C41" s="455"/>
      <c r="D41" s="455"/>
      <c r="E41" s="455"/>
      <c r="F41" s="83">
        <f>F40/5</f>
        <v>695.35199999999998</v>
      </c>
    </row>
    <row r="42" spans="1:14" x14ac:dyDescent="0.3">
      <c r="A42" s="455" t="s">
        <v>304</v>
      </c>
      <c r="B42" s="455"/>
      <c r="C42" s="455"/>
      <c r="D42" s="455"/>
      <c r="E42" s="455"/>
      <c r="F42" s="83">
        <f>F41/12</f>
        <v>57.945999999999998</v>
      </c>
    </row>
    <row r="43" spans="1:14" x14ac:dyDescent="0.3">
      <c r="A43" s="456" t="s">
        <v>307</v>
      </c>
      <c r="B43" s="456"/>
      <c r="C43" s="456"/>
      <c r="D43" s="456"/>
      <c r="E43" s="456"/>
      <c r="F43" s="150">
        <f>F42/3</f>
        <v>19.315333333333331</v>
      </c>
    </row>
    <row r="46" spans="1:14" x14ac:dyDescent="0.3">
      <c r="A46" s="435" t="s">
        <v>416</v>
      </c>
      <c r="B46" s="435"/>
      <c r="C46" s="435"/>
      <c r="D46" s="435"/>
      <c r="E46" s="435"/>
      <c r="F46" s="435"/>
    </row>
    <row r="47" spans="1:14" ht="26" x14ac:dyDescent="0.3">
      <c r="A47" s="162" t="s">
        <v>54</v>
      </c>
      <c r="B47" s="177" t="s">
        <v>224</v>
      </c>
      <c r="C47" s="162" t="s">
        <v>99</v>
      </c>
      <c r="D47" s="179" t="s">
        <v>324</v>
      </c>
      <c r="E47" s="162" t="s">
        <v>226</v>
      </c>
      <c r="F47" s="162" t="s">
        <v>227</v>
      </c>
    </row>
    <row r="48" spans="1:14" s="127" customFormat="1" ht="16" customHeight="1" x14ac:dyDescent="0.35">
      <c r="A48" s="318">
        <v>2</v>
      </c>
      <c r="B48" s="316" t="s">
        <v>413</v>
      </c>
      <c r="C48" s="313" t="s">
        <v>202</v>
      </c>
      <c r="D48" s="314">
        <v>1</v>
      </c>
      <c r="E48" s="315">
        <v>405.18</v>
      </c>
      <c r="F48" s="315">
        <f t="shared" ref="F48" si="0">D48*E48</f>
        <v>405.18</v>
      </c>
      <c r="N48" s="324"/>
    </row>
    <row r="49" spans="1:6" ht="15" customHeight="1" x14ac:dyDescent="0.3">
      <c r="A49" s="410"/>
      <c r="B49" s="410"/>
      <c r="C49" s="410"/>
      <c r="D49" s="410"/>
      <c r="E49" s="410"/>
      <c r="F49" s="164">
        <f>SUM(F48:F48)</f>
        <v>405.18</v>
      </c>
    </row>
    <row r="50" spans="1:6" x14ac:dyDescent="0.3">
      <c r="A50" s="455" t="s">
        <v>301</v>
      </c>
      <c r="B50" s="455"/>
      <c r="C50" s="455"/>
      <c r="D50" s="455"/>
      <c r="E50" s="455"/>
      <c r="F50" s="83">
        <f>F49/5</f>
        <v>81.036000000000001</v>
      </c>
    </row>
    <row r="51" spans="1:6" x14ac:dyDescent="0.3">
      <c r="A51" s="455" t="s">
        <v>304</v>
      </c>
      <c r="B51" s="455"/>
      <c r="C51" s="455"/>
      <c r="D51" s="455"/>
      <c r="E51" s="455"/>
      <c r="F51" s="83">
        <f>F50/12</f>
        <v>6.7530000000000001</v>
      </c>
    </row>
    <row r="52" spans="1:6" x14ac:dyDescent="0.3">
      <c r="A52" s="456" t="s">
        <v>414</v>
      </c>
      <c r="B52" s="456"/>
      <c r="C52" s="456"/>
      <c r="D52" s="456"/>
      <c r="E52" s="456"/>
      <c r="F52" s="150">
        <f>F51/1</f>
        <v>6.7530000000000001</v>
      </c>
    </row>
    <row r="56" spans="1:6" x14ac:dyDescent="0.3">
      <c r="A56" s="435" t="s">
        <v>232</v>
      </c>
      <c r="B56" s="435"/>
      <c r="C56" s="435"/>
      <c r="D56" s="435"/>
      <c r="E56" s="435"/>
      <c r="F56" s="435"/>
    </row>
    <row r="57" spans="1:6" ht="26" x14ac:dyDescent="0.3">
      <c r="A57" s="162" t="s">
        <v>54</v>
      </c>
      <c r="B57" s="177" t="s">
        <v>224</v>
      </c>
      <c r="C57" s="162" t="s">
        <v>99</v>
      </c>
      <c r="D57" s="179" t="s">
        <v>324</v>
      </c>
      <c r="E57" s="162" t="s">
        <v>226</v>
      </c>
      <c r="F57" s="162" t="s">
        <v>227</v>
      </c>
    </row>
    <row r="58" spans="1:6" ht="39" x14ac:dyDescent="0.3">
      <c r="A58" s="176">
        <v>1</v>
      </c>
      <c r="B58" s="166" t="s">
        <v>214</v>
      </c>
      <c r="C58" s="175" t="s">
        <v>202</v>
      </c>
      <c r="D58" s="153">
        <v>1</v>
      </c>
      <c r="E58" s="163">
        <v>528.23</v>
      </c>
      <c r="F58" s="163">
        <f>D58*E58</f>
        <v>528.23</v>
      </c>
    </row>
    <row r="59" spans="1:6" x14ac:dyDescent="0.3">
      <c r="A59" s="176">
        <v>2</v>
      </c>
      <c r="B59" s="166" t="s">
        <v>217</v>
      </c>
      <c r="C59" s="175" t="s">
        <v>202</v>
      </c>
      <c r="D59" s="153">
        <v>1</v>
      </c>
      <c r="E59" s="163">
        <v>1475.06</v>
      </c>
      <c r="F59" s="163">
        <f>D59*E59</f>
        <v>1475.06</v>
      </c>
    </row>
    <row r="60" spans="1:6" ht="26" x14ac:dyDescent="0.3">
      <c r="A60" s="176">
        <v>3</v>
      </c>
      <c r="B60" s="166" t="s">
        <v>303</v>
      </c>
      <c r="C60" s="175" t="s">
        <v>202</v>
      </c>
      <c r="D60" s="153">
        <v>1</v>
      </c>
      <c r="E60" s="163">
        <v>257.93</v>
      </c>
      <c r="F60" s="163">
        <f>D60*E60</f>
        <v>257.93</v>
      </c>
    </row>
    <row r="61" spans="1:6" x14ac:dyDescent="0.3">
      <c r="A61" s="22">
        <v>4</v>
      </c>
      <c r="B61" s="316" t="s">
        <v>413</v>
      </c>
      <c r="C61" s="313" t="s">
        <v>202</v>
      </c>
      <c r="D61" s="314">
        <v>3</v>
      </c>
      <c r="E61" s="315">
        <v>405.18</v>
      </c>
      <c r="F61" s="163">
        <f>D61*E61</f>
        <v>1215.54</v>
      </c>
    </row>
    <row r="62" spans="1:6" ht="15" customHeight="1" x14ac:dyDescent="0.3">
      <c r="A62" s="460"/>
      <c r="B62" s="461"/>
      <c r="C62" s="461"/>
      <c r="D62" s="461"/>
      <c r="E62" s="462"/>
      <c r="F62" s="164">
        <f>SUM(F58:F61)</f>
        <v>3476.7599999999998</v>
      </c>
    </row>
    <row r="63" spans="1:6" x14ac:dyDescent="0.3">
      <c r="A63" s="455" t="s">
        <v>301</v>
      </c>
      <c r="B63" s="455"/>
      <c r="C63" s="455"/>
      <c r="D63" s="455"/>
      <c r="E63" s="455"/>
      <c r="F63" s="83">
        <f>F62/5</f>
        <v>695.35199999999998</v>
      </c>
    </row>
    <row r="64" spans="1:6" x14ac:dyDescent="0.3">
      <c r="A64" s="455" t="s">
        <v>304</v>
      </c>
      <c r="B64" s="455"/>
      <c r="C64" s="455"/>
      <c r="D64" s="455"/>
      <c r="E64" s="455"/>
      <c r="F64" s="83">
        <f>F63/12</f>
        <v>57.945999999999998</v>
      </c>
    </row>
    <row r="65" spans="1:6" x14ac:dyDescent="0.3">
      <c r="A65" s="456" t="s">
        <v>307</v>
      </c>
      <c r="B65" s="456"/>
      <c r="C65" s="456"/>
      <c r="D65" s="456"/>
      <c r="E65" s="456"/>
      <c r="F65" s="150">
        <f>F64/3</f>
        <v>19.315333333333331</v>
      </c>
    </row>
    <row r="69" spans="1:6" x14ac:dyDescent="0.3">
      <c r="A69" s="435" t="s">
        <v>233</v>
      </c>
      <c r="B69" s="435"/>
      <c r="C69" s="435"/>
      <c r="D69" s="435"/>
      <c r="E69" s="435"/>
      <c r="F69" s="435"/>
    </row>
    <row r="70" spans="1:6" ht="26" x14ac:dyDescent="0.3">
      <c r="A70" s="162" t="s">
        <v>54</v>
      </c>
      <c r="B70" s="177" t="s">
        <v>213</v>
      </c>
      <c r="C70" s="162" t="s">
        <v>99</v>
      </c>
      <c r="D70" s="179" t="s">
        <v>324</v>
      </c>
      <c r="E70" s="162" t="s">
        <v>226</v>
      </c>
      <c r="F70" s="162" t="s">
        <v>227</v>
      </c>
    </row>
    <row r="71" spans="1:6" ht="39" x14ac:dyDescent="0.3">
      <c r="A71" s="176">
        <v>1</v>
      </c>
      <c r="B71" s="166" t="s">
        <v>214</v>
      </c>
      <c r="C71" s="175" t="s">
        <v>202</v>
      </c>
      <c r="D71" s="153">
        <v>1</v>
      </c>
      <c r="E71" s="163">
        <v>528.23</v>
      </c>
      <c r="F71" s="163">
        <f>D71*E71</f>
        <v>528.23</v>
      </c>
    </row>
    <row r="72" spans="1:6" ht="26" x14ac:dyDescent="0.3">
      <c r="A72" s="176">
        <v>2</v>
      </c>
      <c r="B72" s="166" t="s">
        <v>303</v>
      </c>
      <c r="C72" s="175" t="s">
        <v>202</v>
      </c>
      <c r="D72" s="153">
        <v>1</v>
      </c>
      <c r="E72" s="163">
        <v>257.93</v>
      </c>
      <c r="F72" s="163">
        <f>D72*E72</f>
        <v>257.93</v>
      </c>
    </row>
    <row r="73" spans="1:6" x14ac:dyDescent="0.3">
      <c r="A73" s="176">
        <v>3</v>
      </c>
      <c r="B73" s="166" t="s">
        <v>217</v>
      </c>
      <c r="C73" s="175" t="s">
        <v>202</v>
      </c>
      <c r="D73" s="153">
        <v>1</v>
      </c>
      <c r="E73" s="163">
        <v>1475.06</v>
      </c>
      <c r="F73" s="163">
        <f>D73*E73</f>
        <v>1475.06</v>
      </c>
    </row>
    <row r="74" spans="1:6" x14ac:dyDescent="0.3">
      <c r="A74" s="22">
        <v>4</v>
      </c>
      <c r="B74" s="316" t="s">
        <v>413</v>
      </c>
      <c r="C74" s="313" t="s">
        <v>202</v>
      </c>
      <c r="D74" s="314">
        <v>2</v>
      </c>
      <c r="E74" s="315">
        <v>405.18</v>
      </c>
      <c r="F74" s="163">
        <f>D74*E74</f>
        <v>810.36</v>
      </c>
    </row>
    <row r="75" spans="1:6" ht="15" customHeight="1" x14ac:dyDescent="0.3">
      <c r="A75" s="410"/>
      <c r="B75" s="410"/>
      <c r="C75" s="410"/>
      <c r="D75" s="410"/>
      <c r="E75" s="410"/>
      <c r="F75" s="164">
        <f>SUM(F71:F74)</f>
        <v>3071.5800000000004</v>
      </c>
    </row>
    <row r="76" spans="1:6" x14ac:dyDescent="0.3">
      <c r="A76" s="455" t="s">
        <v>301</v>
      </c>
      <c r="B76" s="455"/>
      <c r="C76" s="455"/>
      <c r="D76" s="455"/>
      <c r="E76" s="455"/>
      <c r="F76" s="83">
        <f>F75/5</f>
        <v>614.31600000000003</v>
      </c>
    </row>
    <row r="77" spans="1:6" x14ac:dyDescent="0.3">
      <c r="A77" s="455" t="s">
        <v>304</v>
      </c>
      <c r="B77" s="455"/>
      <c r="C77" s="455"/>
      <c r="D77" s="455"/>
      <c r="E77" s="455"/>
      <c r="F77" s="83">
        <f>F76/12</f>
        <v>51.193000000000005</v>
      </c>
    </row>
    <row r="78" spans="1:6" x14ac:dyDescent="0.3">
      <c r="A78" s="456" t="s">
        <v>306</v>
      </c>
      <c r="B78" s="456"/>
      <c r="C78" s="456"/>
      <c r="D78" s="456"/>
      <c r="E78" s="456"/>
      <c r="F78" s="150">
        <f>F77/2</f>
        <v>25.596500000000002</v>
      </c>
    </row>
    <row r="82" spans="1:6" x14ac:dyDescent="0.3">
      <c r="A82" s="435" t="s">
        <v>225</v>
      </c>
      <c r="B82" s="435"/>
      <c r="C82" s="435"/>
      <c r="D82" s="435"/>
      <c r="E82" s="435"/>
      <c r="F82" s="435"/>
    </row>
    <row r="83" spans="1:6" ht="26" x14ac:dyDescent="0.3">
      <c r="A83" s="162" t="s">
        <v>54</v>
      </c>
      <c r="B83" s="177" t="s">
        <v>224</v>
      </c>
      <c r="C83" s="162" t="s">
        <v>99</v>
      </c>
      <c r="D83" s="179" t="s">
        <v>324</v>
      </c>
      <c r="E83" s="162" t="s">
        <v>226</v>
      </c>
      <c r="F83" s="162" t="s">
        <v>227</v>
      </c>
    </row>
    <row r="84" spans="1:6" x14ac:dyDescent="0.3">
      <c r="A84" s="176">
        <v>1</v>
      </c>
      <c r="B84" s="166" t="s">
        <v>217</v>
      </c>
      <c r="C84" s="175" t="s">
        <v>202</v>
      </c>
      <c r="D84" s="153">
        <v>1</v>
      </c>
      <c r="E84" s="163">
        <v>1475.06</v>
      </c>
      <c r="F84" s="163">
        <f>D84*E84</f>
        <v>1475.06</v>
      </c>
    </row>
    <row r="85" spans="1:6" x14ac:dyDescent="0.3">
      <c r="A85" s="22">
        <v>2</v>
      </c>
      <c r="B85" s="316" t="s">
        <v>413</v>
      </c>
      <c r="C85" s="313" t="s">
        <v>202</v>
      </c>
      <c r="D85" s="314">
        <v>2</v>
      </c>
      <c r="E85" s="315">
        <v>405.18</v>
      </c>
      <c r="F85" s="163">
        <f>D85*E85</f>
        <v>810.36</v>
      </c>
    </row>
    <row r="86" spans="1:6" ht="15" customHeight="1" x14ac:dyDescent="0.3">
      <c r="A86" s="439"/>
      <c r="B86" s="439"/>
      <c r="C86" s="439"/>
      <c r="D86" s="439"/>
      <c r="E86" s="439"/>
      <c r="F86" s="178">
        <f>SUM(F84:F85)</f>
        <v>2285.42</v>
      </c>
    </row>
    <row r="87" spans="1:6" x14ac:dyDescent="0.3">
      <c r="A87" s="455" t="s">
        <v>301</v>
      </c>
      <c r="B87" s="455"/>
      <c r="C87" s="455"/>
      <c r="D87" s="455"/>
      <c r="E87" s="455"/>
      <c r="F87" s="83">
        <f>F86/5</f>
        <v>457.084</v>
      </c>
    </row>
    <row r="88" spans="1:6" x14ac:dyDescent="0.3">
      <c r="A88" s="455" t="s">
        <v>304</v>
      </c>
      <c r="B88" s="455"/>
      <c r="C88" s="455"/>
      <c r="D88" s="455"/>
      <c r="E88" s="455"/>
      <c r="F88" s="83">
        <f>F87/12</f>
        <v>38.090333333333334</v>
      </c>
    </row>
    <row r="89" spans="1:6" x14ac:dyDescent="0.3">
      <c r="A89" s="456" t="s">
        <v>306</v>
      </c>
      <c r="B89" s="456"/>
      <c r="C89" s="456"/>
      <c r="D89" s="456"/>
      <c r="E89" s="456"/>
      <c r="F89" s="150">
        <f>F88/2</f>
        <v>19.045166666666667</v>
      </c>
    </row>
  </sheetData>
  <mergeCells count="44">
    <mergeCell ref="A9:E9"/>
    <mergeCell ref="A86:E86"/>
    <mergeCell ref="A62:E62"/>
    <mergeCell ref="A75:E75"/>
    <mergeCell ref="A10:E10"/>
    <mergeCell ref="A11:E11"/>
    <mergeCell ref="A12:E12"/>
    <mergeCell ref="A40:E40"/>
    <mergeCell ref="A82:F82"/>
    <mergeCell ref="A34:F34"/>
    <mergeCell ref="A56:F56"/>
    <mergeCell ref="A15:F15"/>
    <mergeCell ref="A18:E18"/>
    <mergeCell ref="A19:E19"/>
    <mergeCell ref="A20:E20"/>
    <mergeCell ref="A21:E21"/>
    <mergeCell ref="C2:D2"/>
    <mergeCell ref="A2:B2"/>
    <mergeCell ref="E2:E3"/>
    <mergeCell ref="F2:F3"/>
    <mergeCell ref="A1:F1"/>
    <mergeCell ref="A87:E87"/>
    <mergeCell ref="A88:E88"/>
    <mergeCell ref="A89:E89"/>
    <mergeCell ref="A41:E41"/>
    <mergeCell ref="A42:E42"/>
    <mergeCell ref="A43:E43"/>
    <mergeCell ref="A69:F69"/>
    <mergeCell ref="A63:E63"/>
    <mergeCell ref="A64:E64"/>
    <mergeCell ref="A65:E65"/>
    <mergeCell ref="A76:E76"/>
    <mergeCell ref="A77:E77"/>
    <mergeCell ref="A78:E78"/>
    <mergeCell ref="A46:F46"/>
    <mergeCell ref="A49:E49"/>
    <mergeCell ref="A50:E50"/>
    <mergeCell ref="A51:E51"/>
    <mergeCell ref="A52:E52"/>
    <mergeCell ref="A24:F24"/>
    <mergeCell ref="A28:E28"/>
    <mergeCell ref="A29:E29"/>
    <mergeCell ref="A30:E30"/>
    <mergeCell ref="A31:E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08B89-6568-4555-9C98-B27B2B9B5A1E}">
  <dimension ref="A3:J69"/>
  <sheetViews>
    <sheetView showGridLines="0" zoomScale="75" zoomScaleNormal="75" workbookViewId="0">
      <selection activeCell="B14" sqref="B14"/>
    </sheetView>
  </sheetViews>
  <sheetFormatPr defaultColWidth="9.26953125" defaultRowHeight="15.5" x14ac:dyDescent="0.35"/>
  <cols>
    <col min="1" max="1" width="5.7265625" style="338" bestFit="1" customWidth="1"/>
    <col min="2" max="2" width="51.1796875" style="127" customWidth="1"/>
    <col min="3" max="3" width="8.81640625" style="127" bestFit="1" customWidth="1"/>
    <col min="4" max="4" width="9.90625" style="127" customWidth="1"/>
    <col min="5" max="5" width="8.7265625" style="127" bestFit="1" customWidth="1"/>
    <col min="6" max="6" width="19.6328125" style="127" bestFit="1" customWidth="1"/>
    <col min="7" max="7" width="19.6328125" style="127" customWidth="1"/>
    <col min="8" max="8" width="21.54296875" style="127" bestFit="1" customWidth="1"/>
    <col min="9" max="9" width="21.54296875" style="127" customWidth="1"/>
    <col min="10" max="10" width="12.81640625" style="127" bestFit="1" customWidth="1"/>
    <col min="11" max="22" width="9.26953125" style="127"/>
    <col min="23" max="23" width="11.6328125" style="127" customWidth="1"/>
    <col min="24" max="16384" width="9.26953125" style="127"/>
  </cols>
  <sheetData>
    <row r="3" spans="1:9" x14ac:dyDescent="0.35">
      <c r="A3" s="356"/>
      <c r="B3" s="356"/>
      <c r="C3" s="356"/>
      <c r="D3" s="356"/>
      <c r="E3" s="357"/>
      <c r="F3" s="335" t="s">
        <v>427</v>
      </c>
      <c r="G3" s="342"/>
      <c r="H3" s="342"/>
    </row>
    <row r="4" spans="1:9" x14ac:dyDescent="0.35">
      <c r="A4" s="254" t="s">
        <v>54</v>
      </c>
      <c r="B4" s="254" t="s">
        <v>98</v>
      </c>
      <c r="C4" s="254" t="s">
        <v>428</v>
      </c>
      <c r="D4" s="254" t="s">
        <v>99</v>
      </c>
      <c r="E4" s="252" t="s">
        <v>424</v>
      </c>
      <c r="F4" s="252" t="s">
        <v>185</v>
      </c>
      <c r="G4" s="252" t="s">
        <v>426</v>
      </c>
      <c r="H4" s="333" t="s">
        <v>422</v>
      </c>
      <c r="I4" s="137" t="s">
        <v>423</v>
      </c>
    </row>
    <row r="5" spans="1:9" ht="46.5" x14ac:dyDescent="0.35">
      <c r="A5" s="337">
        <v>3</v>
      </c>
      <c r="B5" s="258" t="s">
        <v>100</v>
      </c>
      <c r="C5" s="258"/>
      <c r="D5" s="256" t="s">
        <v>101</v>
      </c>
      <c r="E5" s="132">
        <v>70.67</v>
      </c>
      <c r="F5" s="257">
        <v>12</v>
      </c>
      <c r="G5" s="340">
        <f>E5*F5</f>
        <v>848.04</v>
      </c>
      <c r="H5" s="267">
        <v>24</v>
      </c>
      <c r="I5" s="334">
        <f>G5*H5</f>
        <v>20352.96</v>
      </c>
    </row>
    <row r="6" spans="1:9" ht="46.5" x14ac:dyDescent="0.35">
      <c r="A6" s="337">
        <v>4</v>
      </c>
      <c r="B6" s="258" t="s">
        <v>193</v>
      </c>
      <c r="C6" s="258"/>
      <c r="D6" s="256" t="s">
        <v>101</v>
      </c>
      <c r="E6" s="132">
        <v>54.33</v>
      </c>
      <c r="F6" s="257">
        <v>16</v>
      </c>
      <c r="G6" s="340">
        <f t="shared" ref="G6:G8" si="0">E6*F6</f>
        <v>869.28</v>
      </c>
      <c r="H6" s="267">
        <v>24</v>
      </c>
      <c r="I6" s="334">
        <f t="shared" ref="I6:I8" si="1">G6*H6</f>
        <v>20862.72</v>
      </c>
    </row>
    <row r="7" spans="1:9" ht="46.5" x14ac:dyDescent="0.35">
      <c r="A7" s="337">
        <v>5</v>
      </c>
      <c r="B7" s="255" t="s">
        <v>194</v>
      </c>
      <c r="C7" s="255"/>
      <c r="D7" s="256" t="s">
        <v>425</v>
      </c>
      <c r="E7" s="132">
        <v>9.2799999999999994</v>
      </c>
      <c r="F7" s="257">
        <v>72</v>
      </c>
      <c r="G7" s="340">
        <f t="shared" si="0"/>
        <v>668.16</v>
      </c>
      <c r="H7" s="267">
        <v>24</v>
      </c>
      <c r="I7" s="334">
        <f t="shared" si="1"/>
        <v>16035.84</v>
      </c>
    </row>
    <row r="8" spans="1:9" ht="31" x14ac:dyDescent="0.35">
      <c r="A8" s="337">
        <v>6</v>
      </c>
      <c r="B8" s="258" t="s">
        <v>195</v>
      </c>
      <c r="C8" s="258"/>
      <c r="D8" s="256" t="s">
        <v>196</v>
      </c>
      <c r="E8" s="132">
        <v>34.06</v>
      </c>
      <c r="F8" s="257">
        <v>6</v>
      </c>
      <c r="G8" s="340">
        <f t="shared" si="0"/>
        <v>204.36</v>
      </c>
      <c r="H8" s="267">
        <v>24</v>
      </c>
      <c r="I8" s="334">
        <f t="shared" si="1"/>
        <v>4904.6400000000003</v>
      </c>
    </row>
    <row r="9" spans="1:9" x14ac:dyDescent="0.35">
      <c r="A9" s="354"/>
      <c r="B9" s="354"/>
      <c r="C9" s="354"/>
      <c r="D9" s="354"/>
      <c r="E9" s="354"/>
      <c r="F9" s="355"/>
      <c r="G9" s="339">
        <f>I9/H9</f>
        <v>2589.84</v>
      </c>
      <c r="H9" s="345">
        <v>24</v>
      </c>
      <c r="I9" s="348">
        <f>SUM(I5:I8)</f>
        <v>62156.160000000003</v>
      </c>
    </row>
    <row r="12" spans="1:9" x14ac:dyDescent="0.35">
      <c r="A12" s="356"/>
      <c r="B12" s="356"/>
      <c r="C12" s="356"/>
      <c r="D12" s="356"/>
      <c r="E12" s="357"/>
      <c r="F12" s="335" t="s">
        <v>421</v>
      </c>
      <c r="G12" s="342"/>
      <c r="H12" s="342"/>
    </row>
    <row r="13" spans="1:9" x14ac:dyDescent="0.35">
      <c r="A13" s="254" t="s">
        <v>54</v>
      </c>
      <c r="B13" s="254" t="s">
        <v>98</v>
      </c>
      <c r="C13" s="254"/>
      <c r="D13" s="254" t="s">
        <v>99</v>
      </c>
      <c r="E13" s="252" t="s">
        <v>424</v>
      </c>
      <c r="F13" s="252" t="s">
        <v>185</v>
      </c>
      <c r="G13" s="252" t="s">
        <v>426</v>
      </c>
      <c r="H13" s="333" t="s">
        <v>422</v>
      </c>
      <c r="I13" s="137" t="s">
        <v>423</v>
      </c>
    </row>
    <row r="14" spans="1:9" ht="46.5" x14ac:dyDescent="0.35">
      <c r="A14" s="337">
        <v>8</v>
      </c>
      <c r="B14" s="258" t="s">
        <v>100</v>
      </c>
      <c r="C14" s="258"/>
      <c r="D14" s="256" t="s">
        <v>101</v>
      </c>
      <c r="E14" s="132">
        <v>87.36</v>
      </c>
      <c r="F14" s="257">
        <v>1</v>
      </c>
      <c r="G14" s="257">
        <f>E14*F14</f>
        <v>87.36</v>
      </c>
      <c r="H14" s="267">
        <v>24</v>
      </c>
      <c r="I14" s="336">
        <f>G14*H14</f>
        <v>2096.64</v>
      </c>
    </row>
    <row r="15" spans="1:9" ht="46.5" x14ac:dyDescent="0.35">
      <c r="A15" s="337">
        <v>9</v>
      </c>
      <c r="B15" s="258" t="s">
        <v>193</v>
      </c>
      <c r="C15" s="258"/>
      <c r="D15" s="256" t="s">
        <v>101</v>
      </c>
      <c r="E15" s="132">
        <v>54.33</v>
      </c>
      <c r="F15" s="257">
        <v>1</v>
      </c>
      <c r="G15" s="257">
        <f t="shared" ref="G15:G16" si="2">E15*F15</f>
        <v>54.33</v>
      </c>
      <c r="H15" s="267">
        <v>24</v>
      </c>
      <c r="I15" s="336">
        <f t="shared" ref="I15:I16" si="3">G15*H15</f>
        <v>1303.92</v>
      </c>
    </row>
    <row r="16" spans="1:9" ht="31" x14ac:dyDescent="0.35">
      <c r="A16" s="337">
        <v>10</v>
      </c>
      <c r="B16" s="258" t="s">
        <v>195</v>
      </c>
      <c r="C16" s="258"/>
      <c r="D16" s="256" t="s">
        <v>196</v>
      </c>
      <c r="E16" s="132">
        <v>34.06</v>
      </c>
      <c r="F16" s="257">
        <v>1</v>
      </c>
      <c r="G16" s="257">
        <f t="shared" si="2"/>
        <v>34.06</v>
      </c>
      <c r="H16" s="267">
        <v>24</v>
      </c>
      <c r="I16" s="336">
        <f t="shared" si="3"/>
        <v>817.44</v>
      </c>
    </row>
    <row r="17" spans="1:9" x14ac:dyDescent="0.35">
      <c r="A17" s="354"/>
      <c r="B17" s="354"/>
      <c r="C17" s="354"/>
      <c r="D17" s="354"/>
      <c r="E17" s="354"/>
      <c r="F17" s="355"/>
      <c r="G17" s="346">
        <f>I17/24</f>
        <v>175.75</v>
      </c>
      <c r="H17" s="345">
        <v>24</v>
      </c>
      <c r="I17" s="349">
        <f>SUM(I14:I16)</f>
        <v>4218</v>
      </c>
    </row>
    <row r="20" spans="1:9" x14ac:dyDescent="0.35">
      <c r="A20" s="356"/>
      <c r="B20" s="356"/>
      <c r="C20" s="356"/>
      <c r="D20" s="356"/>
      <c r="E20" s="357"/>
      <c r="F20" s="335" t="s">
        <v>408</v>
      </c>
      <c r="G20" s="342"/>
      <c r="H20" s="342"/>
    </row>
    <row r="21" spans="1:9" x14ac:dyDescent="0.35">
      <c r="A21" s="254" t="s">
        <v>54</v>
      </c>
      <c r="B21" s="254" t="s">
        <v>98</v>
      </c>
      <c r="C21" s="254"/>
      <c r="D21" s="254" t="s">
        <v>99</v>
      </c>
      <c r="E21" s="252" t="s">
        <v>424</v>
      </c>
      <c r="F21" s="252" t="s">
        <v>185</v>
      </c>
      <c r="G21" s="252" t="s">
        <v>426</v>
      </c>
      <c r="H21" s="333" t="s">
        <v>422</v>
      </c>
      <c r="I21" s="137" t="s">
        <v>423</v>
      </c>
    </row>
    <row r="22" spans="1:9" ht="46.5" x14ac:dyDescent="0.35">
      <c r="A22" s="337">
        <v>12</v>
      </c>
      <c r="B22" s="255" t="s">
        <v>100</v>
      </c>
      <c r="C22" s="255"/>
      <c r="D22" s="256" t="s">
        <v>101</v>
      </c>
      <c r="E22" s="132">
        <v>87.36</v>
      </c>
      <c r="F22" s="257">
        <v>1</v>
      </c>
      <c r="G22" s="340">
        <f>E22*F22</f>
        <v>87.36</v>
      </c>
      <c r="H22" s="267">
        <v>24</v>
      </c>
      <c r="I22" s="334">
        <f>G22*H22</f>
        <v>2096.64</v>
      </c>
    </row>
    <row r="23" spans="1:9" ht="46.5" x14ac:dyDescent="0.35">
      <c r="A23" s="337">
        <v>13</v>
      </c>
      <c r="B23" s="258" t="s">
        <v>193</v>
      </c>
      <c r="C23" s="258"/>
      <c r="D23" s="256" t="s">
        <v>101</v>
      </c>
      <c r="E23" s="132">
        <v>54.33</v>
      </c>
      <c r="F23" s="257">
        <v>4</v>
      </c>
      <c r="G23" s="340">
        <v>54.33</v>
      </c>
      <c r="H23" s="267">
        <v>24</v>
      </c>
      <c r="I23" s="334">
        <f t="shared" ref="I23:I24" si="4">G23*H23</f>
        <v>1303.92</v>
      </c>
    </row>
    <row r="24" spans="1:9" ht="31" x14ac:dyDescent="0.35">
      <c r="A24" s="337">
        <v>14</v>
      </c>
      <c r="B24" s="258" t="s">
        <v>195</v>
      </c>
      <c r="C24" s="258"/>
      <c r="D24" s="256" t="s">
        <v>196</v>
      </c>
      <c r="E24" s="132">
        <v>34.06</v>
      </c>
      <c r="F24" s="257">
        <v>1</v>
      </c>
      <c r="G24" s="340">
        <f t="shared" ref="G24" si="5">E24*F24</f>
        <v>34.06</v>
      </c>
      <c r="H24" s="267">
        <v>24</v>
      </c>
      <c r="I24" s="334">
        <f t="shared" si="4"/>
        <v>817.44</v>
      </c>
    </row>
    <row r="25" spans="1:9" x14ac:dyDescent="0.35">
      <c r="A25" s="354"/>
      <c r="B25" s="354"/>
      <c r="C25" s="354"/>
      <c r="D25" s="354"/>
      <c r="E25" s="354"/>
      <c r="F25" s="355"/>
      <c r="G25" s="341">
        <f>I25/24</f>
        <v>175.75</v>
      </c>
      <c r="H25" s="345">
        <v>24</v>
      </c>
      <c r="I25" s="348">
        <f>SUM(I22:I24)</f>
        <v>4218</v>
      </c>
    </row>
    <row r="26" spans="1:9" x14ac:dyDescent="0.35">
      <c r="A26" s="332"/>
      <c r="B26" s="332"/>
      <c r="C26" s="332"/>
      <c r="D26" s="332"/>
      <c r="E26" s="332"/>
      <c r="F26" s="332"/>
      <c r="G26" s="344"/>
      <c r="H26" s="344"/>
      <c r="I26" s="343"/>
    </row>
    <row r="28" spans="1:9" x14ac:dyDescent="0.35">
      <c r="A28" s="356"/>
      <c r="B28" s="356"/>
      <c r="C28" s="356"/>
      <c r="D28" s="356"/>
      <c r="E28" s="357"/>
      <c r="F28" s="335" t="s">
        <v>192</v>
      </c>
      <c r="G28" s="342"/>
      <c r="H28" s="342"/>
    </row>
    <row r="29" spans="1:9" x14ac:dyDescent="0.35">
      <c r="A29" s="254" t="s">
        <v>54</v>
      </c>
      <c r="B29" s="254" t="s">
        <v>98</v>
      </c>
      <c r="C29" s="254"/>
      <c r="D29" s="254" t="s">
        <v>99</v>
      </c>
      <c r="E29" s="252" t="s">
        <v>424</v>
      </c>
      <c r="F29" s="252" t="s">
        <v>185</v>
      </c>
      <c r="G29" s="252" t="s">
        <v>426</v>
      </c>
      <c r="H29" s="333" t="s">
        <v>422</v>
      </c>
      <c r="I29" s="137" t="s">
        <v>423</v>
      </c>
    </row>
    <row r="30" spans="1:9" ht="46.5" x14ac:dyDescent="0.35">
      <c r="A30" s="337">
        <v>16</v>
      </c>
      <c r="B30" s="258" t="s">
        <v>100</v>
      </c>
      <c r="C30" s="258"/>
      <c r="D30" s="256" t="s">
        <v>101</v>
      </c>
      <c r="E30" s="132">
        <v>87.36</v>
      </c>
      <c r="F30" s="257">
        <v>3</v>
      </c>
      <c r="G30" s="257">
        <f>F30*E30</f>
        <v>262.08</v>
      </c>
      <c r="H30" s="267">
        <v>24</v>
      </c>
      <c r="I30" s="334">
        <f>G30*H30</f>
        <v>6289.92</v>
      </c>
    </row>
    <row r="31" spans="1:9" ht="46.5" x14ac:dyDescent="0.35">
      <c r="A31" s="337">
        <v>17</v>
      </c>
      <c r="B31" s="258" t="s">
        <v>193</v>
      </c>
      <c r="C31" s="258"/>
      <c r="D31" s="256" t="s">
        <v>101</v>
      </c>
      <c r="E31" s="132">
        <v>54.33</v>
      </c>
      <c r="F31" s="257">
        <v>6</v>
      </c>
      <c r="G31" s="257">
        <f t="shared" ref="G31:G32" si="6">F31*E31</f>
        <v>325.98</v>
      </c>
      <c r="H31" s="267">
        <v>24</v>
      </c>
      <c r="I31" s="334">
        <f t="shared" ref="I31:I32" si="7">G31*H31</f>
        <v>7823.52</v>
      </c>
    </row>
    <row r="32" spans="1:9" ht="31" x14ac:dyDescent="0.35">
      <c r="A32" s="337">
        <v>18</v>
      </c>
      <c r="B32" s="258" t="s">
        <v>195</v>
      </c>
      <c r="C32" s="258"/>
      <c r="D32" s="256" t="s">
        <v>196</v>
      </c>
      <c r="E32" s="132">
        <v>34.06</v>
      </c>
      <c r="F32" s="257">
        <v>3</v>
      </c>
      <c r="G32" s="257">
        <f t="shared" si="6"/>
        <v>102.18</v>
      </c>
      <c r="H32" s="267">
        <v>24</v>
      </c>
      <c r="I32" s="334">
        <f t="shared" si="7"/>
        <v>2452.3200000000002</v>
      </c>
    </row>
    <row r="33" spans="1:9" x14ac:dyDescent="0.35">
      <c r="A33" s="354"/>
      <c r="B33" s="354"/>
      <c r="C33" s="354"/>
      <c r="D33" s="354"/>
      <c r="E33" s="354"/>
      <c r="F33" s="355"/>
      <c r="G33" s="339">
        <f>I33/24</f>
        <v>690.24000000000012</v>
      </c>
      <c r="H33" s="345">
        <v>24</v>
      </c>
      <c r="I33" s="352">
        <f>SUM(I30:I32)</f>
        <v>16565.760000000002</v>
      </c>
    </row>
    <row r="36" spans="1:9" x14ac:dyDescent="0.35">
      <c r="A36" s="356"/>
      <c r="B36" s="356"/>
      <c r="C36" s="356"/>
      <c r="D36" s="356"/>
      <c r="E36" s="357"/>
      <c r="F36" s="335" t="s">
        <v>197</v>
      </c>
      <c r="G36" s="342"/>
      <c r="H36" s="342"/>
    </row>
    <row r="37" spans="1:9" x14ac:dyDescent="0.35">
      <c r="A37" s="254" t="s">
        <v>54</v>
      </c>
      <c r="B37" s="254" t="s">
        <v>98</v>
      </c>
      <c r="C37" s="254"/>
      <c r="D37" s="254" t="s">
        <v>99</v>
      </c>
      <c r="E37" s="252" t="s">
        <v>424</v>
      </c>
      <c r="F37" s="252" t="s">
        <v>185</v>
      </c>
      <c r="G37" s="252" t="s">
        <v>426</v>
      </c>
      <c r="H37" s="333" t="s">
        <v>422</v>
      </c>
      <c r="I37" s="137" t="s">
        <v>423</v>
      </c>
    </row>
    <row r="38" spans="1:9" ht="46.5" x14ac:dyDescent="0.35">
      <c r="A38" s="337">
        <v>20</v>
      </c>
      <c r="B38" s="258" t="s">
        <v>100</v>
      </c>
      <c r="C38" s="258"/>
      <c r="D38" s="256" t="s">
        <v>101</v>
      </c>
      <c r="E38" s="132">
        <v>87.36</v>
      </c>
      <c r="F38" s="257">
        <v>2</v>
      </c>
      <c r="G38" s="257">
        <f>E38*F38</f>
        <v>174.72</v>
      </c>
      <c r="H38" s="267">
        <v>24</v>
      </c>
      <c r="I38" s="334">
        <f>G38*H38</f>
        <v>4193.28</v>
      </c>
    </row>
    <row r="39" spans="1:9" ht="46.5" x14ac:dyDescent="0.35">
      <c r="A39" s="337">
        <v>21</v>
      </c>
      <c r="B39" s="258" t="s">
        <v>193</v>
      </c>
      <c r="C39" s="258"/>
      <c r="D39" s="256" t="s">
        <v>101</v>
      </c>
      <c r="E39" s="132">
        <v>54.33</v>
      </c>
      <c r="F39" s="257">
        <v>3</v>
      </c>
      <c r="G39" s="257">
        <f t="shared" ref="G39:G40" si="8">E39*F39</f>
        <v>162.99</v>
      </c>
      <c r="H39" s="267">
        <v>24</v>
      </c>
      <c r="I39" s="334">
        <f t="shared" ref="I39:I40" si="9">G39*H39</f>
        <v>3911.76</v>
      </c>
    </row>
    <row r="40" spans="1:9" ht="31" x14ac:dyDescent="0.35">
      <c r="A40" s="337">
        <v>22</v>
      </c>
      <c r="B40" s="258" t="s">
        <v>195</v>
      </c>
      <c r="C40" s="258"/>
      <c r="D40" s="256" t="s">
        <v>196</v>
      </c>
      <c r="E40" s="132">
        <v>34.06</v>
      </c>
      <c r="F40" s="257">
        <v>2</v>
      </c>
      <c r="G40" s="257">
        <f t="shared" si="8"/>
        <v>68.12</v>
      </c>
      <c r="H40" s="267">
        <v>24</v>
      </c>
      <c r="I40" s="334">
        <f t="shared" si="9"/>
        <v>1634.88</v>
      </c>
    </row>
    <row r="41" spans="1:9" x14ac:dyDescent="0.35">
      <c r="A41" s="354"/>
      <c r="B41" s="354"/>
      <c r="C41" s="354"/>
      <c r="D41" s="354"/>
      <c r="E41" s="354"/>
      <c r="F41" s="355"/>
      <c r="G41" s="339">
        <f>I41/24</f>
        <v>405.83</v>
      </c>
      <c r="H41" s="345">
        <v>24</v>
      </c>
      <c r="I41" s="352">
        <f>SUM(I38:I40)</f>
        <v>9739.92</v>
      </c>
    </row>
    <row r="44" spans="1:9" x14ac:dyDescent="0.35">
      <c r="A44" s="356"/>
      <c r="B44" s="356"/>
      <c r="C44" s="356"/>
      <c r="D44" s="356"/>
      <c r="E44" s="357"/>
      <c r="F44" s="335" t="s">
        <v>198</v>
      </c>
      <c r="G44" s="342"/>
      <c r="H44" s="342"/>
    </row>
    <row r="45" spans="1:9" x14ac:dyDescent="0.35">
      <c r="A45" s="254" t="s">
        <v>54</v>
      </c>
      <c r="B45" s="254" t="s">
        <v>98</v>
      </c>
      <c r="C45" s="254"/>
      <c r="D45" s="254" t="s">
        <v>99</v>
      </c>
      <c r="E45" s="252" t="s">
        <v>424</v>
      </c>
      <c r="F45" s="252" t="s">
        <v>185</v>
      </c>
      <c r="G45" s="252" t="s">
        <v>426</v>
      </c>
      <c r="H45" s="333" t="s">
        <v>422</v>
      </c>
      <c r="I45" s="137" t="s">
        <v>423</v>
      </c>
    </row>
    <row r="46" spans="1:9" ht="46.5" x14ac:dyDescent="0.35">
      <c r="A46" s="337">
        <v>24</v>
      </c>
      <c r="B46" s="258" t="s">
        <v>100</v>
      </c>
      <c r="C46" s="258"/>
      <c r="D46" s="256" t="s">
        <v>101</v>
      </c>
      <c r="E46" s="132">
        <v>87.36</v>
      </c>
      <c r="F46" s="257">
        <v>2</v>
      </c>
      <c r="G46" s="257">
        <f>E46*F46</f>
        <v>174.72</v>
      </c>
      <c r="H46" s="267">
        <v>24</v>
      </c>
      <c r="I46" s="334">
        <f>G46*H46</f>
        <v>4193.28</v>
      </c>
    </row>
    <row r="47" spans="1:9" ht="46.5" x14ac:dyDescent="0.35">
      <c r="A47" s="337">
        <v>25</v>
      </c>
      <c r="B47" s="258" t="s">
        <v>193</v>
      </c>
      <c r="C47" s="258"/>
      <c r="D47" s="256" t="s">
        <v>101</v>
      </c>
      <c r="E47" s="132">
        <v>54.33</v>
      </c>
      <c r="F47" s="257">
        <v>3</v>
      </c>
      <c r="G47" s="257">
        <f t="shared" ref="G47:G48" si="10">E47*F47</f>
        <v>162.99</v>
      </c>
      <c r="H47" s="267">
        <v>24</v>
      </c>
      <c r="I47" s="334">
        <f t="shared" ref="I47:I48" si="11">G47*H47</f>
        <v>3911.76</v>
      </c>
    </row>
    <row r="48" spans="1:9" ht="31" x14ac:dyDescent="0.35">
      <c r="A48" s="337">
        <v>26</v>
      </c>
      <c r="B48" s="258" t="s">
        <v>195</v>
      </c>
      <c r="C48" s="258"/>
      <c r="D48" s="256" t="s">
        <v>196</v>
      </c>
      <c r="E48" s="132">
        <v>34.06</v>
      </c>
      <c r="F48" s="257">
        <v>2</v>
      </c>
      <c r="G48" s="257">
        <f t="shared" si="10"/>
        <v>68.12</v>
      </c>
      <c r="H48" s="267">
        <v>24</v>
      </c>
      <c r="I48" s="334">
        <f t="shared" si="11"/>
        <v>1634.88</v>
      </c>
    </row>
    <row r="49" spans="1:10" x14ac:dyDescent="0.35">
      <c r="A49" s="354"/>
      <c r="B49" s="354"/>
      <c r="C49" s="354"/>
      <c r="D49" s="354"/>
      <c r="E49" s="354"/>
      <c r="F49" s="355"/>
      <c r="G49" s="339">
        <f>I49/24</f>
        <v>405.83</v>
      </c>
      <c r="H49" s="345">
        <v>24</v>
      </c>
      <c r="I49" s="352">
        <f>SUM(I46:I48)</f>
        <v>9739.92</v>
      </c>
    </row>
    <row r="52" spans="1:10" ht="16" thickBot="1" x14ac:dyDescent="0.4">
      <c r="A52" s="356"/>
      <c r="B52" s="356"/>
      <c r="C52" s="356"/>
      <c r="D52" s="356"/>
      <c r="E52" s="357"/>
      <c r="F52" s="254" t="s">
        <v>191</v>
      </c>
      <c r="G52" s="342"/>
      <c r="H52" s="342"/>
    </row>
    <row r="53" spans="1:10" x14ac:dyDescent="0.35">
      <c r="A53" s="253" t="s">
        <v>54</v>
      </c>
      <c r="B53" s="254" t="s">
        <v>98</v>
      </c>
      <c r="C53" s="254"/>
      <c r="D53" s="254" t="s">
        <v>99</v>
      </c>
      <c r="E53" s="252" t="s">
        <v>424</v>
      </c>
      <c r="F53" s="252" t="s">
        <v>185</v>
      </c>
      <c r="G53" s="252" t="s">
        <v>426</v>
      </c>
      <c r="H53" s="333" t="s">
        <v>422</v>
      </c>
      <c r="I53" s="137" t="s">
        <v>423</v>
      </c>
    </row>
    <row r="54" spans="1:10" ht="46.5" x14ac:dyDescent="0.35">
      <c r="A54" s="337">
        <v>28</v>
      </c>
      <c r="B54" s="258" t="s">
        <v>100</v>
      </c>
      <c r="C54" s="258"/>
      <c r="D54" s="256" t="s">
        <v>101</v>
      </c>
      <c r="E54" s="132">
        <v>87.36</v>
      </c>
      <c r="F54" s="257">
        <v>2</v>
      </c>
      <c r="G54" s="257">
        <f>F54*E54</f>
        <v>174.72</v>
      </c>
      <c r="H54" s="267">
        <v>24</v>
      </c>
      <c r="I54" s="336">
        <f>G54*H54</f>
        <v>4193.28</v>
      </c>
    </row>
    <row r="55" spans="1:10" ht="46.5" x14ac:dyDescent="0.35">
      <c r="A55" s="337">
        <v>29</v>
      </c>
      <c r="B55" s="258" t="s">
        <v>193</v>
      </c>
      <c r="C55" s="258"/>
      <c r="D55" s="256" t="s">
        <v>101</v>
      </c>
      <c r="E55" s="132">
        <v>54.33</v>
      </c>
      <c r="F55" s="257">
        <v>4</v>
      </c>
      <c r="G55" s="257">
        <f t="shared" ref="G55:G56" si="12">F55*E55</f>
        <v>217.32</v>
      </c>
      <c r="H55" s="267">
        <v>24</v>
      </c>
      <c r="I55" s="336">
        <f t="shared" ref="I55:I56" si="13">G55*H55</f>
        <v>5215.68</v>
      </c>
    </row>
    <row r="56" spans="1:10" ht="31" x14ac:dyDescent="0.35">
      <c r="A56" s="337">
        <v>30</v>
      </c>
      <c r="B56" s="258" t="s">
        <v>195</v>
      </c>
      <c r="C56" s="258"/>
      <c r="D56" s="256" t="s">
        <v>196</v>
      </c>
      <c r="E56" s="132">
        <v>34.06</v>
      </c>
      <c r="F56" s="257">
        <v>2</v>
      </c>
      <c r="G56" s="257">
        <f t="shared" si="12"/>
        <v>68.12</v>
      </c>
      <c r="H56" s="267">
        <v>24</v>
      </c>
      <c r="I56" s="336">
        <f t="shared" si="13"/>
        <v>1634.88</v>
      </c>
    </row>
    <row r="57" spans="1:10" x14ac:dyDescent="0.35">
      <c r="A57" s="354"/>
      <c r="B57" s="354"/>
      <c r="C57" s="354"/>
      <c r="D57" s="354"/>
      <c r="E57" s="354"/>
      <c r="F57" s="355"/>
      <c r="G57" s="346">
        <f>I57/24</f>
        <v>460.16</v>
      </c>
      <c r="H57" s="345">
        <v>24</v>
      </c>
      <c r="I57" s="351">
        <f>SUM(I54:I56)</f>
        <v>11043.84</v>
      </c>
      <c r="J57" s="350"/>
    </row>
    <row r="60" spans="1:10" x14ac:dyDescent="0.35">
      <c r="A60" s="356"/>
      <c r="B60" s="356"/>
      <c r="C60" s="356"/>
      <c r="D60" s="356"/>
      <c r="E60" s="357"/>
      <c r="F60" s="335" t="s">
        <v>403</v>
      </c>
      <c r="G60" s="342"/>
      <c r="H60" s="342"/>
    </row>
    <row r="61" spans="1:10" x14ac:dyDescent="0.35">
      <c r="A61" s="254" t="s">
        <v>54</v>
      </c>
      <c r="B61" s="254" t="s">
        <v>98</v>
      </c>
      <c r="C61" s="254"/>
      <c r="D61" s="254" t="s">
        <v>99</v>
      </c>
      <c r="E61" s="252" t="s">
        <v>424</v>
      </c>
      <c r="F61" s="252" t="s">
        <v>185</v>
      </c>
      <c r="G61" s="252" t="s">
        <v>426</v>
      </c>
      <c r="H61" s="333" t="s">
        <v>422</v>
      </c>
      <c r="I61" s="137" t="s">
        <v>423</v>
      </c>
    </row>
    <row r="62" spans="1:10" ht="46.5" x14ac:dyDescent="0.35">
      <c r="A62" s="337">
        <v>32</v>
      </c>
      <c r="B62" s="258" t="s">
        <v>100</v>
      </c>
      <c r="C62" s="258"/>
      <c r="D62" s="256" t="s">
        <v>101</v>
      </c>
      <c r="E62" s="132">
        <v>87.36</v>
      </c>
      <c r="F62" s="257">
        <v>1</v>
      </c>
      <c r="G62" s="257">
        <f>F62*E62</f>
        <v>87.36</v>
      </c>
      <c r="H62" s="267">
        <v>24</v>
      </c>
      <c r="I62" s="334">
        <f>G62*H62</f>
        <v>2096.64</v>
      </c>
    </row>
    <row r="63" spans="1:10" ht="46.5" x14ac:dyDescent="0.35">
      <c r="A63" s="337">
        <v>33</v>
      </c>
      <c r="B63" s="258" t="s">
        <v>193</v>
      </c>
      <c r="C63" s="258"/>
      <c r="D63" s="256" t="s">
        <v>101</v>
      </c>
      <c r="E63" s="132">
        <v>54.33</v>
      </c>
      <c r="F63" s="257">
        <v>1</v>
      </c>
      <c r="G63" s="257">
        <f t="shared" ref="G63:G64" si="14">F63*E63</f>
        <v>54.33</v>
      </c>
      <c r="H63" s="267">
        <v>24</v>
      </c>
      <c r="I63" s="334">
        <f t="shared" ref="I63:I64" si="15">G63*H63</f>
        <v>1303.92</v>
      </c>
    </row>
    <row r="64" spans="1:10" ht="31" x14ac:dyDescent="0.35">
      <c r="A64" s="337">
        <v>34</v>
      </c>
      <c r="B64" s="258" t="s">
        <v>195</v>
      </c>
      <c r="C64" s="258"/>
      <c r="D64" s="256" t="s">
        <v>196</v>
      </c>
      <c r="E64" s="132">
        <v>34.06</v>
      </c>
      <c r="F64" s="257">
        <v>1</v>
      </c>
      <c r="G64" s="257">
        <f t="shared" si="14"/>
        <v>34.06</v>
      </c>
      <c r="H64" s="267">
        <v>24</v>
      </c>
      <c r="I64" s="334">
        <f t="shared" si="15"/>
        <v>817.44</v>
      </c>
    </row>
    <row r="65" spans="1:9" x14ac:dyDescent="0.35">
      <c r="A65" s="354"/>
      <c r="B65" s="354"/>
      <c r="C65" s="354"/>
      <c r="D65" s="354"/>
      <c r="E65" s="354"/>
      <c r="F65" s="355"/>
      <c r="G65" s="339">
        <f>I65/24</f>
        <v>175.75</v>
      </c>
      <c r="H65" s="345">
        <v>24</v>
      </c>
      <c r="I65" s="352">
        <f>SUM(I62:I64)</f>
        <v>4218</v>
      </c>
    </row>
    <row r="68" spans="1:9" x14ac:dyDescent="0.35">
      <c r="I68" s="353">
        <f>I49+I41+I65+I33+I57+I17+I25+I9</f>
        <v>121899.6</v>
      </c>
    </row>
    <row r="69" spans="1:9" x14ac:dyDescent="0.35">
      <c r="I69" s="347"/>
    </row>
  </sheetData>
  <mergeCells count="16">
    <mergeCell ref="A52:E52"/>
    <mergeCell ref="A57:F57"/>
    <mergeCell ref="A60:E60"/>
    <mergeCell ref="A65:F65"/>
    <mergeCell ref="A28:E28"/>
    <mergeCell ref="A33:F33"/>
    <mergeCell ref="A36:E36"/>
    <mergeCell ref="A41:F41"/>
    <mergeCell ref="A44:E44"/>
    <mergeCell ref="A49:F49"/>
    <mergeCell ref="A25:F25"/>
    <mergeCell ref="A3:E3"/>
    <mergeCell ref="A9:F9"/>
    <mergeCell ref="A12:E12"/>
    <mergeCell ref="A17:F17"/>
    <mergeCell ref="A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9520-80E8-4467-A5AB-818A9E3579F1}">
  <dimension ref="A12:J78"/>
  <sheetViews>
    <sheetView showGridLines="0" zoomScale="75" zoomScaleNormal="75" workbookViewId="0">
      <selection activeCell="S16" sqref="S16"/>
    </sheetView>
  </sheetViews>
  <sheetFormatPr defaultColWidth="9.26953125" defaultRowHeight="15.5" x14ac:dyDescent="0.35"/>
  <cols>
    <col min="1" max="1" width="5.7265625" style="338" bestFit="1" customWidth="1"/>
    <col min="2" max="2" width="51.1796875" style="127" customWidth="1"/>
    <col min="3" max="3" width="8.81640625" style="127" bestFit="1" customWidth="1"/>
    <col min="4" max="4" width="9.90625" style="127" customWidth="1"/>
    <col min="5" max="5" width="8.7265625" style="127" bestFit="1" customWidth="1"/>
    <col min="6" max="6" width="19.6328125" style="127" bestFit="1" customWidth="1"/>
    <col min="7" max="7" width="19.6328125" style="127" customWidth="1"/>
    <col min="8" max="8" width="21.54296875" style="127" bestFit="1" customWidth="1"/>
    <col min="9" max="9" width="21.54296875" style="127" customWidth="1"/>
    <col min="10" max="10" width="12.81640625" style="127" bestFit="1" customWidth="1"/>
    <col min="11" max="22" width="9.26953125" style="127"/>
    <col min="23" max="23" width="11.6328125" style="127" customWidth="1"/>
    <col min="24" max="16384" width="9.26953125" style="127"/>
  </cols>
  <sheetData>
    <row r="12" spans="1:9" x14ac:dyDescent="0.35">
      <c r="A12" s="356"/>
      <c r="B12" s="356"/>
      <c r="C12" s="356"/>
      <c r="D12" s="356"/>
      <c r="E12" s="357"/>
      <c r="F12" s="335" t="s">
        <v>427</v>
      </c>
      <c r="G12" s="342"/>
      <c r="H12" s="342"/>
    </row>
    <row r="13" spans="1:9" x14ac:dyDescent="0.35">
      <c r="A13" s="254" t="s">
        <v>54</v>
      </c>
      <c r="B13" s="254" t="s">
        <v>98</v>
      </c>
      <c r="C13" s="254" t="s">
        <v>428</v>
      </c>
      <c r="D13" s="254" t="s">
        <v>99</v>
      </c>
      <c r="E13" s="252" t="s">
        <v>424</v>
      </c>
      <c r="F13" s="252" t="s">
        <v>185</v>
      </c>
      <c r="G13" s="252" t="s">
        <v>426</v>
      </c>
      <c r="H13" s="333" t="s">
        <v>422</v>
      </c>
      <c r="I13" s="137" t="s">
        <v>423</v>
      </c>
    </row>
    <row r="14" spans="1:9" ht="46.5" x14ac:dyDescent="0.35">
      <c r="A14" s="337">
        <v>3</v>
      </c>
      <c r="B14" s="258" t="s">
        <v>100</v>
      </c>
      <c r="C14" s="258"/>
      <c r="D14" s="256" t="s">
        <v>101</v>
      </c>
      <c r="E14" s="132">
        <v>70.67</v>
      </c>
      <c r="F14" s="257">
        <v>12</v>
      </c>
      <c r="G14" s="340">
        <f>E14*F14</f>
        <v>848.04</v>
      </c>
      <c r="H14" s="267">
        <v>24</v>
      </c>
      <c r="I14" s="334">
        <f>G14*H14</f>
        <v>20352.96</v>
      </c>
    </row>
    <row r="15" spans="1:9" ht="46.5" x14ac:dyDescent="0.35">
      <c r="A15" s="337">
        <v>4</v>
      </c>
      <c r="B15" s="258" t="s">
        <v>193</v>
      </c>
      <c r="C15" s="258"/>
      <c r="D15" s="256" t="s">
        <v>101</v>
      </c>
      <c r="E15" s="132">
        <v>54.33</v>
      </c>
      <c r="F15" s="257">
        <v>16</v>
      </c>
      <c r="G15" s="340">
        <f t="shared" ref="G15:G17" si="0">E15*F15</f>
        <v>869.28</v>
      </c>
      <c r="H15" s="267">
        <v>24</v>
      </c>
      <c r="I15" s="334">
        <f t="shared" ref="I15:I17" si="1">G15*H15</f>
        <v>20862.72</v>
      </c>
    </row>
    <row r="16" spans="1:9" ht="46.5" x14ac:dyDescent="0.35">
      <c r="A16" s="337">
        <v>5</v>
      </c>
      <c r="B16" s="255" t="s">
        <v>194</v>
      </c>
      <c r="C16" s="255"/>
      <c r="D16" s="256" t="s">
        <v>425</v>
      </c>
      <c r="E16" s="132">
        <v>9.2799999999999994</v>
      </c>
      <c r="F16" s="257">
        <v>72</v>
      </c>
      <c r="G16" s="340">
        <f t="shared" si="0"/>
        <v>668.16</v>
      </c>
      <c r="H16" s="267">
        <v>24</v>
      </c>
      <c r="I16" s="334">
        <f t="shared" si="1"/>
        <v>16035.84</v>
      </c>
    </row>
    <row r="17" spans="1:9" ht="31" x14ac:dyDescent="0.35">
      <c r="A17" s="337">
        <v>6</v>
      </c>
      <c r="B17" s="258" t="s">
        <v>195</v>
      </c>
      <c r="C17" s="258"/>
      <c r="D17" s="256" t="s">
        <v>196</v>
      </c>
      <c r="E17" s="132">
        <v>34.06</v>
      </c>
      <c r="F17" s="257">
        <v>6</v>
      </c>
      <c r="G17" s="340">
        <f t="shared" si="0"/>
        <v>204.36</v>
      </c>
      <c r="H17" s="267">
        <v>24</v>
      </c>
      <c r="I17" s="334">
        <f t="shared" si="1"/>
        <v>4904.6400000000003</v>
      </c>
    </row>
    <row r="18" spans="1:9" x14ac:dyDescent="0.35">
      <c r="A18" s="354"/>
      <c r="B18" s="354"/>
      <c r="C18" s="354"/>
      <c r="D18" s="354"/>
      <c r="E18" s="354"/>
      <c r="F18" s="355"/>
      <c r="G18" s="339">
        <f>I18/H18</f>
        <v>2589.84</v>
      </c>
      <c r="H18" s="345">
        <v>24</v>
      </c>
      <c r="I18" s="348">
        <f>SUM(I14:I17)</f>
        <v>62156.160000000003</v>
      </c>
    </row>
    <row r="21" spans="1:9" x14ac:dyDescent="0.35">
      <c r="A21" s="356"/>
      <c r="B21" s="356"/>
      <c r="C21" s="356"/>
      <c r="D21" s="356"/>
      <c r="E21" s="357"/>
      <c r="F21" s="335" t="s">
        <v>421</v>
      </c>
      <c r="G21" s="342"/>
      <c r="H21" s="342"/>
    </row>
    <row r="22" spans="1:9" x14ac:dyDescent="0.35">
      <c r="A22" s="254" t="s">
        <v>54</v>
      </c>
      <c r="B22" s="254" t="s">
        <v>98</v>
      </c>
      <c r="C22" s="254"/>
      <c r="D22" s="254" t="s">
        <v>99</v>
      </c>
      <c r="E22" s="252" t="s">
        <v>424</v>
      </c>
      <c r="F22" s="252" t="s">
        <v>185</v>
      </c>
      <c r="G22" s="252" t="s">
        <v>426</v>
      </c>
      <c r="H22" s="333" t="s">
        <v>422</v>
      </c>
      <c r="I22" s="137" t="s">
        <v>423</v>
      </c>
    </row>
    <row r="23" spans="1:9" ht="46.5" x14ac:dyDescent="0.35">
      <c r="A23" s="337">
        <v>8</v>
      </c>
      <c r="B23" s="258" t="s">
        <v>100</v>
      </c>
      <c r="C23" s="258"/>
      <c r="D23" s="256" t="s">
        <v>101</v>
      </c>
      <c r="E23" s="132">
        <v>87.36</v>
      </c>
      <c r="F23" s="257">
        <v>1</v>
      </c>
      <c r="G23" s="257">
        <f>E23*F23</f>
        <v>87.36</v>
      </c>
      <c r="H23" s="267">
        <v>24</v>
      </c>
      <c r="I23" s="336">
        <f>G23*H23</f>
        <v>2096.64</v>
      </c>
    </row>
    <row r="24" spans="1:9" ht="46.5" x14ac:dyDescent="0.35">
      <c r="A24" s="337">
        <v>9</v>
      </c>
      <c r="B24" s="258" t="s">
        <v>193</v>
      </c>
      <c r="C24" s="258"/>
      <c r="D24" s="256" t="s">
        <v>101</v>
      </c>
      <c r="E24" s="132">
        <v>54.33</v>
      </c>
      <c r="F24" s="257">
        <v>1</v>
      </c>
      <c r="G24" s="257">
        <f t="shared" ref="G24:G25" si="2">E24*F24</f>
        <v>54.33</v>
      </c>
      <c r="H24" s="267">
        <v>24</v>
      </c>
      <c r="I24" s="336">
        <f t="shared" ref="I24:I25" si="3">G24*H24</f>
        <v>1303.92</v>
      </c>
    </row>
    <row r="25" spans="1:9" ht="31" x14ac:dyDescent="0.35">
      <c r="A25" s="337">
        <v>10</v>
      </c>
      <c r="B25" s="258" t="s">
        <v>195</v>
      </c>
      <c r="C25" s="258"/>
      <c r="D25" s="256" t="s">
        <v>196</v>
      </c>
      <c r="E25" s="132">
        <v>34.06</v>
      </c>
      <c r="F25" s="257">
        <v>1</v>
      </c>
      <c r="G25" s="257">
        <f t="shared" si="2"/>
        <v>34.06</v>
      </c>
      <c r="H25" s="267">
        <v>24</v>
      </c>
      <c r="I25" s="336">
        <f t="shared" si="3"/>
        <v>817.44</v>
      </c>
    </row>
    <row r="26" spans="1:9" x14ac:dyDescent="0.35">
      <c r="A26" s="354"/>
      <c r="B26" s="354"/>
      <c r="C26" s="354"/>
      <c r="D26" s="354"/>
      <c r="E26" s="354"/>
      <c r="F26" s="355"/>
      <c r="G26" s="346">
        <f>I26/24</f>
        <v>175.75</v>
      </c>
      <c r="H26" s="345">
        <v>24</v>
      </c>
      <c r="I26" s="349">
        <f>SUM(I23:I25)</f>
        <v>4218</v>
      </c>
    </row>
    <row r="29" spans="1:9" x14ac:dyDescent="0.35">
      <c r="A29" s="356"/>
      <c r="B29" s="356"/>
      <c r="C29" s="356"/>
      <c r="D29" s="356"/>
      <c r="E29" s="357"/>
      <c r="F29" s="335" t="s">
        <v>408</v>
      </c>
      <c r="G29" s="342"/>
      <c r="H29" s="342"/>
    </row>
    <row r="30" spans="1:9" x14ac:dyDescent="0.35">
      <c r="A30" s="254" t="s">
        <v>54</v>
      </c>
      <c r="B30" s="254" t="s">
        <v>98</v>
      </c>
      <c r="C30" s="254"/>
      <c r="D30" s="254" t="s">
        <v>99</v>
      </c>
      <c r="E30" s="252" t="s">
        <v>424</v>
      </c>
      <c r="F30" s="252" t="s">
        <v>185</v>
      </c>
      <c r="G30" s="252" t="s">
        <v>426</v>
      </c>
      <c r="H30" s="333" t="s">
        <v>422</v>
      </c>
      <c r="I30" s="137" t="s">
        <v>423</v>
      </c>
    </row>
    <row r="31" spans="1:9" ht="46.5" x14ac:dyDescent="0.35">
      <c r="A31" s="337">
        <v>12</v>
      </c>
      <c r="B31" s="255" t="s">
        <v>100</v>
      </c>
      <c r="C31" s="255"/>
      <c r="D31" s="256" t="s">
        <v>101</v>
      </c>
      <c r="E31" s="132">
        <v>87.36</v>
      </c>
      <c r="F31" s="257">
        <v>1</v>
      </c>
      <c r="G31" s="340">
        <f>E31*F31</f>
        <v>87.36</v>
      </c>
      <c r="H31" s="267">
        <v>24</v>
      </c>
      <c r="I31" s="334">
        <f>G31*H31</f>
        <v>2096.64</v>
      </c>
    </row>
    <row r="32" spans="1:9" ht="46.5" x14ac:dyDescent="0.35">
      <c r="A32" s="337">
        <v>13</v>
      </c>
      <c r="B32" s="258" t="s">
        <v>193</v>
      </c>
      <c r="C32" s="258"/>
      <c r="D32" s="256" t="s">
        <v>101</v>
      </c>
      <c r="E32" s="132">
        <v>54.33</v>
      </c>
      <c r="F32" s="257">
        <v>4</v>
      </c>
      <c r="G32" s="340">
        <v>54.33</v>
      </c>
      <c r="H32" s="267">
        <v>24</v>
      </c>
      <c r="I32" s="334">
        <f t="shared" ref="I32:I33" si="4">G32*H32</f>
        <v>1303.92</v>
      </c>
    </row>
    <row r="33" spans="1:9" ht="31" x14ac:dyDescent="0.35">
      <c r="A33" s="337">
        <v>14</v>
      </c>
      <c r="B33" s="258" t="s">
        <v>195</v>
      </c>
      <c r="C33" s="258"/>
      <c r="D33" s="256" t="s">
        <v>196</v>
      </c>
      <c r="E33" s="132">
        <v>34.06</v>
      </c>
      <c r="F33" s="257">
        <v>1</v>
      </c>
      <c r="G33" s="340">
        <f t="shared" ref="G33" si="5">E33*F33</f>
        <v>34.06</v>
      </c>
      <c r="H33" s="267">
        <v>24</v>
      </c>
      <c r="I33" s="334">
        <f t="shared" si="4"/>
        <v>817.44</v>
      </c>
    </row>
    <row r="34" spans="1:9" x14ac:dyDescent="0.35">
      <c r="A34" s="354"/>
      <c r="B34" s="354"/>
      <c r="C34" s="354"/>
      <c r="D34" s="354"/>
      <c r="E34" s="354"/>
      <c r="F34" s="355"/>
      <c r="G34" s="341">
        <f>I34/24</f>
        <v>175.75</v>
      </c>
      <c r="H34" s="345">
        <v>24</v>
      </c>
      <c r="I34" s="348">
        <f>SUM(I31:I33)</f>
        <v>4218</v>
      </c>
    </row>
    <row r="35" spans="1:9" x14ac:dyDescent="0.35">
      <c r="A35" s="332"/>
      <c r="B35" s="332"/>
      <c r="C35" s="332"/>
      <c r="D35" s="332"/>
      <c r="E35" s="332"/>
      <c r="F35" s="332"/>
      <c r="G35" s="344"/>
      <c r="H35" s="344"/>
      <c r="I35" s="343"/>
    </row>
    <row r="37" spans="1:9" x14ac:dyDescent="0.35">
      <c r="A37" s="356"/>
      <c r="B37" s="356"/>
      <c r="C37" s="356"/>
      <c r="D37" s="356"/>
      <c r="E37" s="357"/>
      <c r="F37" s="335" t="s">
        <v>192</v>
      </c>
      <c r="G37" s="342"/>
      <c r="H37" s="342"/>
    </row>
    <row r="38" spans="1:9" x14ac:dyDescent="0.35">
      <c r="A38" s="254" t="s">
        <v>54</v>
      </c>
      <c r="B38" s="254" t="s">
        <v>98</v>
      </c>
      <c r="C38" s="254"/>
      <c r="D38" s="254" t="s">
        <v>99</v>
      </c>
      <c r="E38" s="252" t="s">
        <v>424</v>
      </c>
      <c r="F38" s="252" t="s">
        <v>185</v>
      </c>
      <c r="G38" s="252" t="s">
        <v>426</v>
      </c>
      <c r="H38" s="333" t="s">
        <v>422</v>
      </c>
      <c r="I38" s="137" t="s">
        <v>423</v>
      </c>
    </row>
    <row r="39" spans="1:9" ht="46.5" x14ac:dyDescent="0.35">
      <c r="A39" s="337">
        <v>16</v>
      </c>
      <c r="B39" s="258" t="s">
        <v>100</v>
      </c>
      <c r="C39" s="258"/>
      <c r="D39" s="256" t="s">
        <v>101</v>
      </c>
      <c r="E39" s="132">
        <v>87.36</v>
      </c>
      <c r="F39" s="257">
        <v>3</v>
      </c>
      <c r="G39" s="257">
        <f>F39*E39</f>
        <v>262.08</v>
      </c>
      <c r="H39" s="267">
        <v>24</v>
      </c>
      <c r="I39" s="334">
        <f>G39*H39</f>
        <v>6289.92</v>
      </c>
    </row>
    <row r="40" spans="1:9" ht="46.5" x14ac:dyDescent="0.35">
      <c r="A40" s="337">
        <v>17</v>
      </c>
      <c r="B40" s="258" t="s">
        <v>193</v>
      </c>
      <c r="C40" s="258"/>
      <c r="D40" s="256" t="s">
        <v>101</v>
      </c>
      <c r="E40" s="132">
        <v>54.33</v>
      </c>
      <c r="F40" s="257">
        <v>6</v>
      </c>
      <c r="G40" s="257">
        <f t="shared" ref="G40:G41" si="6">F40*E40</f>
        <v>325.98</v>
      </c>
      <c r="H40" s="267">
        <v>24</v>
      </c>
      <c r="I40" s="334">
        <f t="shared" ref="I40:I41" si="7">G40*H40</f>
        <v>7823.52</v>
      </c>
    </row>
    <row r="41" spans="1:9" ht="31" x14ac:dyDescent="0.35">
      <c r="A41" s="337">
        <v>18</v>
      </c>
      <c r="B41" s="258" t="s">
        <v>195</v>
      </c>
      <c r="C41" s="258"/>
      <c r="D41" s="256" t="s">
        <v>196</v>
      </c>
      <c r="E41" s="132">
        <v>34.06</v>
      </c>
      <c r="F41" s="257">
        <v>3</v>
      </c>
      <c r="G41" s="257">
        <f t="shared" si="6"/>
        <v>102.18</v>
      </c>
      <c r="H41" s="267">
        <v>24</v>
      </c>
      <c r="I41" s="334">
        <f t="shared" si="7"/>
        <v>2452.3200000000002</v>
      </c>
    </row>
    <row r="42" spans="1:9" x14ac:dyDescent="0.35">
      <c r="A42" s="354"/>
      <c r="B42" s="354"/>
      <c r="C42" s="354"/>
      <c r="D42" s="354"/>
      <c r="E42" s="354"/>
      <c r="F42" s="355"/>
      <c r="G42" s="339">
        <f>I42/24</f>
        <v>690.24000000000012</v>
      </c>
      <c r="H42" s="345">
        <v>24</v>
      </c>
      <c r="I42" s="352">
        <f>SUM(I39:I41)</f>
        <v>16565.760000000002</v>
      </c>
    </row>
    <row r="45" spans="1:9" x14ac:dyDescent="0.35">
      <c r="A45" s="356"/>
      <c r="B45" s="356"/>
      <c r="C45" s="356"/>
      <c r="D45" s="356"/>
      <c r="E45" s="357"/>
      <c r="F45" s="335" t="s">
        <v>197</v>
      </c>
      <c r="G45" s="342"/>
      <c r="H45" s="342"/>
    </row>
    <row r="46" spans="1:9" x14ac:dyDescent="0.35">
      <c r="A46" s="254" t="s">
        <v>54</v>
      </c>
      <c r="B46" s="254" t="s">
        <v>98</v>
      </c>
      <c r="C46" s="254"/>
      <c r="D46" s="254" t="s">
        <v>99</v>
      </c>
      <c r="E46" s="252" t="s">
        <v>424</v>
      </c>
      <c r="F46" s="252" t="s">
        <v>185</v>
      </c>
      <c r="G46" s="252" t="s">
        <v>426</v>
      </c>
      <c r="H46" s="333" t="s">
        <v>422</v>
      </c>
      <c r="I46" s="137" t="s">
        <v>423</v>
      </c>
    </row>
    <row r="47" spans="1:9" ht="46.5" x14ac:dyDescent="0.35">
      <c r="A47" s="337">
        <v>20</v>
      </c>
      <c r="B47" s="258" t="s">
        <v>100</v>
      </c>
      <c r="C47" s="258"/>
      <c r="D47" s="256" t="s">
        <v>101</v>
      </c>
      <c r="E47" s="132">
        <v>87.36</v>
      </c>
      <c r="F47" s="257">
        <v>2</v>
      </c>
      <c r="G47" s="257">
        <f>E47*F47</f>
        <v>174.72</v>
      </c>
      <c r="H47" s="267">
        <v>24</v>
      </c>
      <c r="I47" s="334">
        <f>G47*H47</f>
        <v>4193.28</v>
      </c>
    </row>
    <row r="48" spans="1:9" ht="46.5" x14ac:dyDescent="0.35">
      <c r="A48" s="337">
        <v>21</v>
      </c>
      <c r="B48" s="258" t="s">
        <v>193</v>
      </c>
      <c r="C48" s="258"/>
      <c r="D48" s="256" t="s">
        <v>101</v>
      </c>
      <c r="E48" s="132">
        <v>54.33</v>
      </c>
      <c r="F48" s="257">
        <v>3</v>
      </c>
      <c r="G48" s="257">
        <f t="shared" ref="G48:G49" si="8">E48*F48</f>
        <v>162.99</v>
      </c>
      <c r="H48" s="267">
        <v>24</v>
      </c>
      <c r="I48" s="334">
        <f t="shared" ref="I48:I49" si="9">G48*H48</f>
        <v>3911.76</v>
      </c>
    </row>
    <row r="49" spans="1:9" ht="31" x14ac:dyDescent="0.35">
      <c r="A49" s="337">
        <v>22</v>
      </c>
      <c r="B49" s="258" t="s">
        <v>195</v>
      </c>
      <c r="C49" s="258"/>
      <c r="D49" s="256" t="s">
        <v>196</v>
      </c>
      <c r="E49" s="132">
        <v>34.06</v>
      </c>
      <c r="F49" s="257">
        <v>2</v>
      </c>
      <c r="G49" s="257">
        <f t="shared" si="8"/>
        <v>68.12</v>
      </c>
      <c r="H49" s="267">
        <v>24</v>
      </c>
      <c r="I49" s="334">
        <f t="shared" si="9"/>
        <v>1634.88</v>
      </c>
    </row>
    <row r="50" spans="1:9" x14ac:dyDescent="0.35">
      <c r="A50" s="354"/>
      <c r="B50" s="354"/>
      <c r="C50" s="354"/>
      <c r="D50" s="354"/>
      <c r="E50" s="354"/>
      <c r="F50" s="355"/>
      <c r="G50" s="339">
        <f>I50/24</f>
        <v>405.83</v>
      </c>
      <c r="H50" s="345">
        <v>24</v>
      </c>
      <c r="I50" s="352">
        <f>SUM(I47:I49)</f>
        <v>9739.92</v>
      </c>
    </row>
    <row r="53" spans="1:9" x14ac:dyDescent="0.35">
      <c r="A53" s="356"/>
      <c r="B53" s="356"/>
      <c r="C53" s="356"/>
      <c r="D53" s="356"/>
      <c r="E53" s="357"/>
      <c r="F53" s="335" t="s">
        <v>198</v>
      </c>
      <c r="G53" s="342"/>
      <c r="H53" s="342"/>
    </row>
    <row r="54" spans="1:9" x14ac:dyDescent="0.35">
      <c r="A54" s="254" t="s">
        <v>54</v>
      </c>
      <c r="B54" s="254" t="s">
        <v>98</v>
      </c>
      <c r="C54" s="254"/>
      <c r="D54" s="254" t="s">
        <v>99</v>
      </c>
      <c r="E54" s="252" t="s">
        <v>424</v>
      </c>
      <c r="F54" s="252" t="s">
        <v>185</v>
      </c>
      <c r="G54" s="252" t="s">
        <v>426</v>
      </c>
      <c r="H54" s="333" t="s">
        <v>422</v>
      </c>
      <c r="I54" s="137" t="s">
        <v>423</v>
      </c>
    </row>
    <row r="55" spans="1:9" ht="46.5" x14ac:dyDescent="0.35">
      <c r="A55" s="337">
        <v>24</v>
      </c>
      <c r="B55" s="258" t="s">
        <v>100</v>
      </c>
      <c r="C55" s="258"/>
      <c r="D55" s="256" t="s">
        <v>101</v>
      </c>
      <c r="E55" s="132">
        <v>87.36</v>
      </c>
      <c r="F55" s="257">
        <v>2</v>
      </c>
      <c r="G55" s="257">
        <f>E55*F55</f>
        <v>174.72</v>
      </c>
      <c r="H55" s="267">
        <v>24</v>
      </c>
      <c r="I55" s="334">
        <f>G55*H55</f>
        <v>4193.28</v>
      </c>
    </row>
    <row r="56" spans="1:9" ht="46.5" x14ac:dyDescent="0.35">
      <c r="A56" s="337">
        <v>25</v>
      </c>
      <c r="B56" s="258" t="s">
        <v>193</v>
      </c>
      <c r="C56" s="258"/>
      <c r="D56" s="256" t="s">
        <v>101</v>
      </c>
      <c r="E56" s="132">
        <v>54.33</v>
      </c>
      <c r="F56" s="257">
        <v>3</v>
      </c>
      <c r="G56" s="257">
        <f t="shared" ref="G56:G57" si="10">E56*F56</f>
        <v>162.99</v>
      </c>
      <c r="H56" s="267">
        <v>24</v>
      </c>
      <c r="I56" s="334">
        <f t="shared" ref="I56:I57" si="11">G56*H56</f>
        <v>3911.76</v>
      </c>
    </row>
    <row r="57" spans="1:9" ht="31" x14ac:dyDescent="0.35">
      <c r="A57" s="337">
        <v>26</v>
      </c>
      <c r="B57" s="258" t="s">
        <v>195</v>
      </c>
      <c r="C57" s="258"/>
      <c r="D57" s="256" t="s">
        <v>196</v>
      </c>
      <c r="E57" s="132">
        <v>34.06</v>
      </c>
      <c r="F57" s="257">
        <v>2</v>
      </c>
      <c r="G57" s="257">
        <f t="shared" si="10"/>
        <v>68.12</v>
      </c>
      <c r="H57" s="267">
        <v>24</v>
      </c>
      <c r="I57" s="334">
        <f t="shared" si="11"/>
        <v>1634.88</v>
      </c>
    </row>
    <row r="58" spans="1:9" x14ac:dyDescent="0.35">
      <c r="A58" s="354"/>
      <c r="B58" s="354"/>
      <c r="C58" s="354"/>
      <c r="D58" s="354"/>
      <c r="E58" s="354"/>
      <c r="F58" s="355"/>
      <c r="G58" s="339">
        <f>I58/24</f>
        <v>405.83</v>
      </c>
      <c r="H58" s="345">
        <v>24</v>
      </c>
      <c r="I58" s="352">
        <f>SUM(I55:I57)</f>
        <v>9739.92</v>
      </c>
    </row>
    <row r="61" spans="1:9" ht="16" thickBot="1" x14ac:dyDescent="0.4">
      <c r="A61" s="356"/>
      <c r="B61" s="356"/>
      <c r="C61" s="356"/>
      <c r="D61" s="356"/>
      <c r="E61" s="357"/>
      <c r="F61" s="254" t="s">
        <v>191</v>
      </c>
      <c r="G61" s="342"/>
      <c r="H61" s="342"/>
    </row>
    <row r="62" spans="1:9" x14ac:dyDescent="0.35">
      <c r="A62" s="253" t="s">
        <v>54</v>
      </c>
      <c r="B62" s="254" t="s">
        <v>98</v>
      </c>
      <c r="C62" s="254"/>
      <c r="D62" s="254" t="s">
        <v>99</v>
      </c>
      <c r="E62" s="252" t="s">
        <v>424</v>
      </c>
      <c r="F62" s="252" t="s">
        <v>185</v>
      </c>
      <c r="G62" s="252" t="s">
        <v>426</v>
      </c>
      <c r="H62" s="333" t="s">
        <v>422</v>
      </c>
      <c r="I62" s="137" t="s">
        <v>423</v>
      </c>
    </row>
    <row r="63" spans="1:9" ht="46.5" x14ac:dyDescent="0.35">
      <c r="A63" s="337">
        <v>28</v>
      </c>
      <c r="B63" s="258" t="s">
        <v>100</v>
      </c>
      <c r="C63" s="258"/>
      <c r="D63" s="256" t="s">
        <v>101</v>
      </c>
      <c r="E63" s="132">
        <v>87.36</v>
      </c>
      <c r="F63" s="257">
        <v>2</v>
      </c>
      <c r="G63" s="257">
        <f>F63*E63</f>
        <v>174.72</v>
      </c>
      <c r="H63" s="267">
        <v>24</v>
      </c>
      <c r="I63" s="336">
        <f>G63*H63</f>
        <v>4193.28</v>
      </c>
    </row>
    <row r="64" spans="1:9" ht="46.5" x14ac:dyDescent="0.35">
      <c r="A64" s="337">
        <v>29</v>
      </c>
      <c r="B64" s="258" t="s">
        <v>193</v>
      </c>
      <c r="C64" s="258"/>
      <c r="D64" s="256" t="s">
        <v>101</v>
      </c>
      <c r="E64" s="132">
        <v>54.33</v>
      </c>
      <c r="F64" s="257">
        <v>4</v>
      </c>
      <c r="G64" s="257">
        <f t="shared" ref="G64:G65" si="12">F64*E64</f>
        <v>217.32</v>
      </c>
      <c r="H64" s="267">
        <v>24</v>
      </c>
      <c r="I64" s="336">
        <f t="shared" ref="I64:I65" si="13">G64*H64</f>
        <v>5215.68</v>
      </c>
    </row>
    <row r="65" spans="1:10" ht="31" x14ac:dyDescent="0.35">
      <c r="A65" s="337">
        <v>30</v>
      </c>
      <c r="B65" s="258" t="s">
        <v>195</v>
      </c>
      <c r="C65" s="258"/>
      <c r="D65" s="256" t="s">
        <v>196</v>
      </c>
      <c r="E65" s="132">
        <v>34.06</v>
      </c>
      <c r="F65" s="257">
        <v>2</v>
      </c>
      <c r="G65" s="257">
        <f t="shared" si="12"/>
        <v>68.12</v>
      </c>
      <c r="H65" s="267">
        <v>24</v>
      </c>
      <c r="I65" s="336">
        <f t="shared" si="13"/>
        <v>1634.88</v>
      </c>
    </row>
    <row r="66" spans="1:10" x14ac:dyDescent="0.35">
      <c r="A66" s="354"/>
      <c r="B66" s="354"/>
      <c r="C66" s="354"/>
      <c r="D66" s="354"/>
      <c r="E66" s="354"/>
      <c r="F66" s="355"/>
      <c r="G66" s="346">
        <f>I66/24</f>
        <v>460.16</v>
      </c>
      <c r="H66" s="345">
        <v>24</v>
      </c>
      <c r="I66" s="351">
        <f>SUM(I63:I65)</f>
        <v>11043.84</v>
      </c>
      <c r="J66" s="350"/>
    </row>
    <row r="69" spans="1:10" x14ac:dyDescent="0.35">
      <c r="A69" s="356"/>
      <c r="B69" s="356"/>
      <c r="C69" s="356"/>
      <c r="D69" s="356"/>
      <c r="E69" s="357"/>
      <c r="F69" s="335" t="s">
        <v>403</v>
      </c>
      <c r="G69" s="342"/>
      <c r="H69" s="342"/>
    </row>
    <row r="70" spans="1:10" x14ac:dyDescent="0.35">
      <c r="A70" s="254" t="s">
        <v>54</v>
      </c>
      <c r="B70" s="254" t="s">
        <v>98</v>
      </c>
      <c r="C70" s="254"/>
      <c r="D70" s="254" t="s">
        <v>99</v>
      </c>
      <c r="E70" s="252" t="s">
        <v>424</v>
      </c>
      <c r="F70" s="252" t="s">
        <v>185</v>
      </c>
      <c r="G70" s="252" t="s">
        <v>426</v>
      </c>
      <c r="H70" s="333" t="s">
        <v>422</v>
      </c>
      <c r="I70" s="137" t="s">
        <v>423</v>
      </c>
    </row>
    <row r="71" spans="1:10" ht="46.5" x14ac:dyDescent="0.35">
      <c r="A71" s="337">
        <v>32</v>
      </c>
      <c r="B71" s="258" t="s">
        <v>100</v>
      </c>
      <c r="C71" s="258"/>
      <c r="D71" s="256" t="s">
        <v>101</v>
      </c>
      <c r="E71" s="132">
        <v>87.36</v>
      </c>
      <c r="F71" s="257">
        <v>1</v>
      </c>
      <c r="G71" s="257">
        <f>F71*E71</f>
        <v>87.36</v>
      </c>
      <c r="H71" s="267">
        <v>24</v>
      </c>
      <c r="I71" s="334">
        <f>G71*H71</f>
        <v>2096.64</v>
      </c>
    </row>
    <row r="72" spans="1:10" ht="46.5" x14ac:dyDescent="0.35">
      <c r="A72" s="337">
        <v>33</v>
      </c>
      <c r="B72" s="258" t="s">
        <v>193</v>
      </c>
      <c r="C72" s="258"/>
      <c r="D72" s="256" t="s">
        <v>101</v>
      </c>
      <c r="E72" s="132">
        <v>54.33</v>
      </c>
      <c r="F72" s="257">
        <v>1</v>
      </c>
      <c r="G72" s="257">
        <f t="shared" ref="G72:G73" si="14">F72*E72</f>
        <v>54.33</v>
      </c>
      <c r="H72" s="267">
        <v>24</v>
      </c>
      <c r="I72" s="334">
        <f t="shared" ref="I72:I73" si="15">G72*H72</f>
        <v>1303.92</v>
      </c>
    </row>
    <row r="73" spans="1:10" ht="31" x14ac:dyDescent="0.35">
      <c r="A73" s="337">
        <v>34</v>
      </c>
      <c r="B73" s="258" t="s">
        <v>195</v>
      </c>
      <c r="C73" s="258"/>
      <c r="D73" s="256" t="s">
        <v>196</v>
      </c>
      <c r="E73" s="132">
        <v>34.06</v>
      </c>
      <c r="F73" s="257">
        <v>1</v>
      </c>
      <c r="G73" s="257">
        <f t="shared" si="14"/>
        <v>34.06</v>
      </c>
      <c r="H73" s="267">
        <v>24</v>
      </c>
      <c r="I73" s="334">
        <f t="shared" si="15"/>
        <v>817.44</v>
      </c>
    </row>
    <row r="74" spans="1:10" x14ac:dyDescent="0.35">
      <c r="A74" s="354"/>
      <c r="B74" s="354"/>
      <c r="C74" s="354"/>
      <c r="D74" s="354"/>
      <c r="E74" s="354"/>
      <c r="F74" s="355"/>
      <c r="G74" s="339">
        <f>I74/24</f>
        <v>175.75</v>
      </c>
      <c r="H74" s="345">
        <v>24</v>
      </c>
      <c r="I74" s="352">
        <f>SUM(I71:I73)</f>
        <v>4218</v>
      </c>
    </row>
    <row r="77" spans="1:10" x14ac:dyDescent="0.35">
      <c r="I77" s="353">
        <f>I58+I50+I74+I42+I66+I26+I34+I18</f>
        <v>121899.6</v>
      </c>
    </row>
    <row r="78" spans="1:10" x14ac:dyDescent="0.35">
      <c r="I78" s="347"/>
    </row>
  </sheetData>
  <mergeCells count="16">
    <mergeCell ref="A74:F74"/>
    <mergeCell ref="A50:F50"/>
    <mergeCell ref="A58:F58"/>
    <mergeCell ref="A53:E53"/>
    <mergeCell ref="A12:E12"/>
    <mergeCell ref="A21:E21"/>
    <mergeCell ref="A61:E61"/>
    <mergeCell ref="A37:E37"/>
    <mergeCell ref="A69:E69"/>
    <mergeCell ref="A45:E45"/>
    <mergeCell ref="A18:F18"/>
    <mergeCell ref="A26:F26"/>
    <mergeCell ref="A66:F66"/>
    <mergeCell ref="A42:F42"/>
    <mergeCell ref="A29:E29"/>
    <mergeCell ref="A34:F3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66"/>
  <sheetViews>
    <sheetView showGridLines="0" topLeftCell="A47" zoomScale="115" zoomScaleNormal="115" workbookViewId="0">
      <selection activeCell="F71" sqref="F71"/>
    </sheetView>
  </sheetViews>
  <sheetFormatPr defaultColWidth="9.1796875" defaultRowHeight="13" x14ac:dyDescent="0.3"/>
  <cols>
    <col min="1" max="1" width="17.26953125" style="5" bestFit="1" customWidth="1"/>
    <col min="2" max="2" width="72.1796875" style="5" customWidth="1"/>
    <col min="3" max="3" width="20.26953125" style="5" bestFit="1" customWidth="1"/>
    <col min="4" max="4" width="15.26953125" style="5" bestFit="1" customWidth="1"/>
    <col min="5" max="5" width="14.7265625" style="5" customWidth="1"/>
    <col min="6" max="6" width="12" style="5" customWidth="1"/>
    <col min="7" max="7" width="15.1796875" style="5" customWidth="1"/>
    <col min="8" max="16384" width="9.1796875" style="5"/>
  </cols>
  <sheetData>
    <row r="1" spans="1:3" x14ac:dyDescent="0.3">
      <c r="A1" s="366" t="s">
        <v>59</v>
      </c>
      <c r="B1" s="366"/>
      <c r="C1" s="366"/>
    </row>
    <row r="2" spans="1:3" x14ac:dyDescent="0.3">
      <c r="A2" s="367" t="s">
        <v>146</v>
      </c>
      <c r="B2" s="367"/>
      <c r="C2" s="367"/>
    </row>
    <row r="3" spans="1:3" x14ac:dyDescent="0.3">
      <c r="A3" s="37"/>
      <c r="B3" s="37"/>
      <c r="C3" s="37"/>
    </row>
    <row r="4" spans="1:3" x14ac:dyDescent="0.3">
      <c r="A4" s="368" t="s">
        <v>420</v>
      </c>
      <c r="B4" s="368"/>
      <c r="C4" s="368"/>
    </row>
    <row r="5" spans="1:3" x14ac:dyDescent="0.3">
      <c r="A5" s="369" t="s">
        <v>147</v>
      </c>
      <c r="B5" s="369"/>
      <c r="C5" s="369"/>
    </row>
    <row r="6" spans="1:3" x14ac:dyDescent="0.3">
      <c r="A6" s="370" t="s">
        <v>148</v>
      </c>
      <c r="B6" s="370"/>
      <c r="C6" s="370"/>
    </row>
    <row r="10" spans="1:3" x14ac:dyDescent="0.3">
      <c r="A10" s="362" t="s">
        <v>60</v>
      </c>
      <c r="B10" s="362"/>
      <c r="C10" s="362"/>
    </row>
    <row r="11" spans="1:3" x14ac:dyDescent="0.3">
      <c r="A11" s="14" t="s">
        <v>9</v>
      </c>
      <c r="B11" s="13" t="s">
        <v>61</v>
      </c>
      <c r="C11" s="6" t="s">
        <v>149</v>
      </c>
    </row>
    <row r="12" spans="1:3" x14ac:dyDescent="0.3">
      <c r="A12" s="14" t="s">
        <v>10</v>
      </c>
      <c r="B12" s="13" t="s">
        <v>62</v>
      </c>
      <c r="C12" s="7" t="s">
        <v>150</v>
      </c>
    </row>
    <row r="13" spans="1:3" ht="15.65" customHeight="1" x14ac:dyDescent="0.3">
      <c r="A13" s="14" t="s">
        <v>11</v>
      </c>
      <c r="B13" s="13" t="s">
        <v>63</v>
      </c>
      <c r="C13" s="21" t="s">
        <v>151</v>
      </c>
    </row>
    <row r="14" spans="1:3" x14ac:dyDescent="0.3">
      <c r="A14" s="14" t="s">
        <v>12</v>
      </c>
      <c r="B14" s="13" t="s">
        <v>64</v>
      </c>
      <c r="C14" s="8">
        <v>12</v>
      </c>
    </row>
    <row r="17" spans="1:3" x14ac:dyDescent="0.3">
      <c r="A17" s="68" t="s">
        <v>110</v>
      </c>
      <c r="B17" s="68" t="s">
        <v>111</v>
      </c>
      <c r="C17" s="68" t="s">
        <v>112</v>
      </c>
    </row>
    <row r="18" spans="1:3" x14ac:dyDescent="0.3">
      <c r="A18" s="363" t="s">
        <v>113</v>
      </c>
      <c r="B18" s="69" t="s">
        <v>114</v>
      </c>
      <c r="C18" s="70">
        <v>7799.31</v>
      </c>
    </row>
    <row r="19" spans="1:3" x14ac:dyDescent="0.3">
      <c r="A19" s="363"/>
      <c r="B19" s="71" t="s">
        <v>115</v>
      </c>
      <c r="C19" s="72">
        <v>922.71</v>
      </c>
    </row>
    <row r="20" spans="1:3" x14ac:dyDescent="0.3">
      <c r="A20" s="363"/>
      <c r="B20" s="71" t="s">
        <v>116</v>
      </c>
      <c r="C20" s="72">
        <v>24.55</v>
      </c>
    </row>
    <row r="21" spans="1:3" x14ac:dyDescent="0.3">
      <c r="A21" s="363"/>
      <c r="B21" s="71" t="s">
        <v>117</v>
      </c>
      <c r="C21" s="73">
        <v>30.23</v>
      </c>
    </row>
    <row r="22" spans="1:3" x14ac:dyDescent="0.3">
      <c r="A22" s="364"/>
      <c r="B22" s="364"/>
      <c r="C22" s="74">
        <f>SUM(C18:C21)</f>
        <v>8776.7999999999993</v>
      </c>
    </row>
    <row r="25" spans="1:3" x14ac:dyDescent="0.3">
      <c r="A25" s="365" t="s">
        <v>118</v>
      </c>
      <c r="B25" s="365"/>
      <c r="C25" s="365"/>
    </row>
    <row r="26" spans="1:3" ht="36" x14ac:dyDescent="0.3">
      <c r="A26" s="75" t="s">
        <v>110</v>
      </c>
      <c r="B26" s="75" t="s">
        <v>119</v>
      </c>
      <c r="C26" s="76" t="s">
        <v>120</v>
      </c>
    </row>
    <row r="27" spans="1:3" x14ac:dyDescent="0.3">
      <c r="A27" s="77" t="s">
        <v>121</v>
      </c>
      <c r="B27" s="78" t="s">
        <v>122</v>
      </c>
      <c r="C27" s="79">
        <f>C22</f>
        <v>8776.7999999999993</v>
      </c>
    </row>
    <row r="29" spans="1:3" ht="15" customHeight="1" x14ac:dyDescent="0.3"/>
    <row r="30" spans="1:3" ht="15" customHeight="1" x14ac:dyDescent="0.3">
      <c r="A30" s="362" t="s">
        <v>65</v>
      </c>
      <c r="B30" s="362"/>
      <c r="C30" s="362"/>
    </row>
    <row r="31" spans="1:3" ht="15" customHeight="1" x14ac:dyDescent="0.3">
      <c r="A31" s="14">
        <v>1</v>
      </c>
      <c r="B31" s="10" t="s">
        <v>66</v>
      </c>
      <c r="C31" s="44" t="s">
        <v>123</v>
      </c>
    </row>
    <row r="32" spans="1:3" ht="15" customHeight="1" x14ac:dyDescent="0.3">
      <c r="A32" s="14">
        <v>2</v>
      </c>
      <c r="B32" s="10" t="s">
        <v>67</v>
      </c>
      <c r="C32" s="22" t="s">
        <v>124</v>
      </c>
    </row>
    <row r="33" spans="1:4" ht="15" customHeight="1" x14ac:dyDescent="0.3">
      <c r="A33" s="14">
        <v>3</v>
      </c>
      <c r="B33" s="11" t="s">
        <v>153</v>
      </c>
      <c r="C33" s="23">
        <v>1403.85</v>
      </c>
      <c r="D33" s="51"/>
    </row>
    <row r="34" spans="1:4" ht="15" customHeight="1" x14ac:dyDescent="0.3">
      <c r="A34" s="14">
        <v>4</v>
      </c>
      <c r="B34" s="10" t="s">
        <v>68</v>
      </c>
      <c r="C34" s="9" t="s">
        <v>154</v>
      </c>
    </row>
    <row r="35" spans="1:4" ht="15" customHeight="1" x14ac:dyDescent="0.3">
      <c r="A35" s="14">
        <v>5</v>
      </c>
      <c r="B35" s="10" t="s">
        <v>69</v>
      </c>
      <c r="C35" s="12">
        <v>44927</v>
      </c>
    </row>
    <row r="38" spans="1:4" ht="13.5" thickBot="1" x14ac:dyDescent="0.35"/>
    <row r="39" spans="1:4" ht="16" thickBot="1" x14ac:dyDescent="0.35">
      <c r="A39" s="387" t="s">
        <v>6</v>
      </c>
      <c r="B39" s="388"/>
      <c r="C39" s="389"/>
    </row>
    <row r="41" spans="1:4" x14ac:dyDescent="0.3">
      <c r="A41" s="39">
        <v>1</v>
      </c>
      <c r="B41" s="39" t="s">
        <v>7</v>
      </c>
      <c r="C41" s="39" t="s">
        <v>8</v>
      </c>
    </row>
    <row r="42" spans="1:4" x14ac:dyDescent="0.3">
      <c r="A42" s="14" t="s">
        <v>9</v>
      </c>
      <c r="B42" s="25" t="s">
        <v>156</v>
      </c>
      <c r="C42" s="52">
        <f>C33</f>
        <v>1403.85</v>
      </c>
    </row>
    <row r="43" spans="1:4" ht="26" x14ac:dyDescent="0.3">
      <c r="A43" s="14" t="s">
        <v>10</v>
      </c>
      <c r="B43" s="25" t="s">
        <v>437</v>
      </c>
      <c r="C43" s="112">
        <f>(1412/100)*30</f>
        <v>423.59999999999997</v>
      </c>
    </row>
    <row r="44" spans="1:4" x14ac:dyDescent="0.3">
      <c r="A44" s="14" t="s">
        <v>11</v>
      </c>
      <c r="B44" s="25" t="s">
        <v>157</v>
      </c>
      <c r="C44" s="52">
        <v>54.31</v>
      </c>
    </row>
    <row r="45" spans="1:4" x14ac:dyDescent="0.3">
      <c r="A45" s="392" t="s">
        <v>0</v>
      </c>
      <c r="B45" s="393"/>
      <c r="C45" s="54">
        <f>SUM(C42:C44)</f>
        <v>1881.7599999999998</v>
      </c>
    </row>
    <row r="48" spans="1:4" x14ac:dyDescent="0.3">
      <c r="A48" s="394" t="s">
        <v>16</v>
      </c>
      <c r="B48" s="394"/>
      <c r="C48" s="394"/>
    </row>
    <row r="49" spans="1:5" x14ac:dyDescent="0.3">
      <c r="A49" s="15"/>
    </row>
    <row r="50" spans="1:5" x14ac:dyDescent="0.3">
      <c r="A50" s="390" t="s">
        <v>17</v>
      </c>
      <c r="B50" s="390"/>
      <c r="C50" s="390"/>
    </row>
    <row r="52" spans="1:5" x14ac:dyDescent="0.3">
      <c r="A52" s="39" t="s">
        <v>18</v>
      </c>
      <c r="B52" s="39" t="s">
        <v>19</v>
      </c>
      <c r="C52" s="39" t="s">
        <v>8</v>
      </c>
    </row>
    <row r="53" spans="1:5" x14ac:dyDescent="0.3">
      <c r="A53" s="14" t="s">
        <v>9</v>
      </c>
      <c r="B53" s="25" t="s">
        <v>84</v>
      </c>
      <c r="C53" s="52">
        <f>C45/12</f>
        <v>156.8133333333333</v>
      </c>
    </row>
    <row r="54" spans="1:5" x14ac:dyDescent="0.3">
      <c r="A54" s="14" t="s">
        <v>10</v>
      </c>
      <c r="B54" s="25" t="s">
        <v>85</v>
      </c>
      <c r="C54" s="52">
        <f>(C45/100)*12.1</f>
        <v>227.69295999999997</v>
      </c>
    </row>
    <row r="55" spans="1:5" x14ac:dyDescent="0.3">
      <c r="A55" s="374" t="s">
        <v>0</v>
      </c>
      <c r="B55" s="374"/>
      <c r="C55" s="54">
        <f>SUM(C53:C54)</f>
        <v>384.50629333333325</v>
      </c>
    </row>
    <row r="58" spans="1:5" ht="32.25" customHeight="1" x14ac:dyDescent="0.3">
      <c r="A58" s="396" t="s">
        <v>20</v>
      </c>
      <c r="B58" s="396"/>
      <c r="C58" s="396"/>
      <c r="D58" s="396"/>
    </row>
    <row r="60" spans="1:5" x14ac:dyDescent="0.3">
      <c r="A60" s="39" t="s">
        <v>21</v>
      </c>
      <c r="B60" s="39" t="s">
        <v>22</v>
      </c>
      <c r="C60" s="39" t="s">
        <v>23</v>
      </c>
      <c r="D60" s="39" t="s">
        <v>8</v>
      </c>
    </row>
    <row r="61" spans="1:5" x14ac:dyDescent="0.3">
      <c r="A61" s="14" t="s">
        <v>9</v>
      </c>
      <c r="B61" s="25" t="s">
        <v>88</v>
      </c>
      <c r="C61" s="33">
        <v>0.2</v>
      </c>
      <c r="D61" s="52">
        <f>(C45+C55)*C61</f>
        <v>453.25325866666662</v>
      </c>
    </row>
    <row r="62" spans="1:5" x14ac:dyDescent="0.3">
      <c r="A62" s="14" t="s">
        <v>10</v>
      </c>
      <c r="B62" s="25" t="s">
        <v>94</v>
      </c>
      <c r="C62" s="33">
        <v>2.5000000000000001E-2</v>
      </c>
      <c r="D62" s="52">
        <f>(C45+C55)*C62</f>
        <v>56.656657333333328</v>
      </c>
    </row>
    <row r="63" spans="1:5" x14ac:dyDescent="0.3">
      <c r="A63" s="14" t="s">
        <v>11</v>
      </c>
      <c r="B63" s="25" t="s">
        <v>93</v>
      </c>
      <c r="C63" s="34">
        <v>0.03</v>
      </c>
      <c r="D63" s="52">
        <f>(C45+C55)*C63</f>
        <v>67.987988799999997</v>
      </c>
      <c r="E63" s="38" t="s">
        <v>73</v>
      </c>
    </row>
    <row r="64" spans="1:5" x14ac:dyDescent="0.3">
      <c r="A64" s="14" t="s">
        <v>12</v>
      </c>
      <c r="B64" s="25" t="s">
        <v>89</v>
      </c>
      <c r="C64" s="33">
        <v>1.4999999999999999E-2</v>
      </c>
      <c r="D64" s="52">
        <f>(C45+C55)*C64</f>
        <v>33.993994399999998</v>
      </c>
    </row>
    <row r="65" spans="1:5" x14ac:dyDescent="0.3">
      <c r="A65" s="14" t="s">
        <v>13</v>
      </c>
      <c r="B65" s="25" t="s">
        <v>90</v>
      </c>
      <c r="C65" s="33">
        <v>0.01</v>
      </c>
      <c r="D65" s="52">
        <f>(C45+C55)*C65</f>
        <v>22.662662933333333</v>
      </c>
    </row>
    <row r="66" spans="1:5" x14ac:dyDescent="0.3">
      <c r="A66" s="14" t="s">
        <v>14</v>
      </c>
      <c r="B66" s="25" t="s">
        <v>91</v>
      </c>
      <c r="C66" s="33">
        <v>6.0000000000000001E-3</v>
      </c>
      <c r="D66" s="52">
        <f>(C45+C45)*C66</f>
        <v>22.581119999999999</v>
      </c>
    </row>
    <row r="67" spans="1:5" x14ac:dyDescent="0.3">
      <c r="A67" s="14" t="s">
        <v>15</v>
      </c>
      <c r="B67" s="25" t="s">
        <v>92</v>
      </c>
      <c r="C67" s="33">
        <v>2E-3</v>
      </c>
      <c r="D67" s="52">
        <f>(C45+C55)*C67</f>
        <v>4.5325325866666661</v>
      </c>
    </row>
    <row r="68" spans="1:5" x14ac:dyDescent="0.3">
      <c r="A68" s="397" t="s">
        <v>50</v>
      </c>
      <c r="B68" s="397"/>
      <c r="C68" s="35">
        <f>SUM(C61:C67)</f>
        <v>0.28800000000000003</v>
      </c>
      <c r="D68" s="53">
        <f>SUM(D61:D67)</f>
        <v>661.66821472000004</v>
      </c>
    </row>
    <row r="69" spans="1:5" x14ac:dyDescent="0.3">
      <c r="A69" s="14" t="s">
        <v>24</v>
      </c>
      <c r="B69" s="25" t="s">
        <v>95</v>
      </c>
      <c r="C69" s="33">
        <v>0.08</v>
      </c>
      <c r="D69" s="52">
        <f>(C45+C55)*C69</f>
        <v>181.30130346666667</v>
      </c>
    </row>
    <row r="70" spans="1:5" x14ac:dyDescent="0.3">
      <c r="A70" s="374" t="s">
        <v>25</v>
      </c>
      <c r="B70" s="374"/>
      <c r="C70" s="36">
        <f>SUM(C68:C69)</f>
        <v>0.36800000000000005</v>
      </c>
      <c r="D70" s="54">
        <f>SUM(D68:D69)</f>
        <v>842.96951818666673</v>
      </c>
    </row>
    <row r="73" spans="1:5" x14ac:dyDescent="0.3">
      <c r="A73" s="390" t="s">
        <v>26</v>
      </c>
      <c r="B73" s="390"/>
      <c r="C73" s="390"/>
    </row>
    <row r="75" spans="1:5" x14ac:dyDescent="0.3">
      <c r="A75" s="39" t="s">
        <v>27</v>
      </c>
      <c r="B75" s="39" t="s">
        <v>28</v>
      </c>
      <c r="C75" s="39" t="s">
        <v>8</v>
      </c>
    </row>
    <row r="76" spans="1:5" x14ac:dyDescent="0.3">
      <c r="A76" s="14" t="s">
        <v>9</v>
      </c>
      <c r="B76" s="25" t="s">
        <v>384</v>
      </c>
      <c r="C76" s="64">
        <f>(4.95*2*22)-(C42/100)*6</f>
        <v>133.56900000000002</v>
      </c>
      <c r="D76" s="20"/>
      <c r="E76" s="20"/>
    </row>
    <row r="77" spans="1:5" x14ac:dyDescent="0.3">
      <c r="A77" s="14" t="s">
        <v>10</v>
      </c>
      <c r="B77" s="25" t="s">
        <v>159</v>
      </c>
      <c r="C77" s="52">
        <f>(19.9*22)-(437.8/100)*5</f>
        <v>415.90999999999997</v>
      </c>
      <c r="D77" s="17"/>
    </row>
    <row r="78" spans="1:5" x14ac:dyDescent="0.3">
      <c r="A78" s="14" t="s">
        <v>11</v>
      </c>
      <c r="B78" s="1" t="s">
        <v>158</v>
      </c>
      <c r="C78" s="83">
        <v>49</v>
      </c>
    </row>
    <row r="79" spans="1:5" x14ac:dyDescent="0.3">
      <c r="A79" s="14" t="s">
        <v>12</v>
      </c>
      <c r="B79" s="25" t="s">
        <v>155</v>
      </c>
      <c r="C79" s="52">
        <v>140.61000000000001</v>
      </c>
    </row>
    <row r="80" spans="1:5" x14ac:dyDescent="0.3">
      <c r="A80" s="374" t="s">
        <v>0</v>
      </c>
      <c r="B80" s="374"/>
      <c r="C80" s="54">
        <f>SUM(C76:C79)</f>
        <v>739.08900000000006</v>
      </c>
    </row>
    <row r="83" spans="1:3" x14ac:dyDescent="0.3">
      <c r="A83" s="390" t="s">
        <v>29</v>
      </c>
      <c r="B83" s="390"/>
      <c r="C83" s="390"/>
    </row>
    <row r="85" spans="1:3" x14ac:dyDescent="0.3">
      <c r="A85" s="39">
        <v>2</v>
      </c>
      <c r="B85" s="39" t="s">
        <v>30</v>
      </c>
      <c r="C85" s="39" t="s">
        <v>8</v>
      </c>
    </row>
    <row r="86" spans="1:3" x14ac:dyDescent="0.3">
      <c r="A86" s="14" t="s">
        <v>18</v>
      </c>
      <c r="B86" s="25" t="s">
        <v>19</v>
      </c>
      <c r="C86" s="55">
        <f>C55</f>
        <v>384.50629333333325</v>
      </c>
    </row>
    <row r="87" spans="1:3" x14ac:dyDescent="0.3">
      <c r="A87" s="14" t="s">
        <v>21</v>
      </c>
      <c r="B87" s="25" t="s">
        <v>22</v>
      </c>
      <c r="C87" s="55">
        <f>D70</f>
        <v>842.96951818666673</v>
      </c>
    </row>
    <row r="88" spans="1:3" x14ac:dyDescent="0.3">
      <c r="A88" s="14" t="s">
        <v>27</v>
      </c>
      <c r="B88" s="25" t="s">
        <v>28</v>
      </c>
      <c r="C88" s="55">
        <f>C80</f>
        <v>739.08900000000006</v>
      </c>
    </row>
    <row r="89" spans="1:3" x14ac:dyDescent="0.3">
      <c r="A89" s="374" t="s">
        <v>0</v>
      </c>
      <c r="B89" s="374"/>
      <c r="C89" s="56">
        <f>SUM(C86:C88)</f>
        <v>1966.5648115200001</v>
      </c>
    </row>
    <row r="90" spans="1:3" x14ac:dyDescent="0.3">
      <c r="A90" s="16"/>
    </row>
    <row r="91" spans="1:3" ht="13.5" thickBot="1" x14ac:dyDescent="0.35"/>
    <row r="92" spans="1:3" ht="13.5" thickBot="1" x14ac:dyDescent="0.35">
      <c r="A92" s="398" t="s">
        <v>31</v>
      </c>
      <c r="B92" s="399"/>
      <c r="C92" s="400"/>
    </row>
    <row r="94" spans="1:3" x14ac:dyDescent="0.3">
      <c r="A94" s="39">
        <v>3</v>
      </c>
      <c r="B94" s="39" t="s">
        <v>32</v>
      </c>
      <c r="C94" s="39" t="s">
        <v>8</v>
      </c>
    </row>
    <row r="95" spans="1:3" x14ac:dyDescent="0.3">
      <c r="A95" s="14" t="s">
        <v>9</v>
      </c>
      <c r="B95" s="31" t="s">
        <v>71</v>
      </c>
      <c r="C95" s="52">
        <f>(C45/100)*1.81</f>
        <v>34.059855999999996</v>
      </c>
    </row>
    <row r="96" spans="1:3" x14ac:dyDescent="0.3">
      <c r="A96" s="14" t="s">
        <v>10</v>
      </c>
      <c r="B96" s="31" t="s">
        <v>72</v>
      </c>
      <c r="C96" s="52">
        <f>(C45/100)*0.14</f>
        <v>2.6344639999999999</v>
      </c>
    </row>
    <row r="97" spans="1:4" ht="26" x14ac:dyDescent="0.3">
      <c r="A97" s="14" t="s">
        <v>11</v>
      </c>
      <c r="B97" s="31" t="s">
        <v>75</v>
      </c>
      <c r="C97" s="52">
        <f>(C45/100)*4.05</f>
        <v>76.211279999999988</v>
      </c>
    </row>
    <row r="98" spans="1:4" x14ac:dyDescent="0.3">
      <c r="A98" s="401" t="s">
        <v>51</v>
      </c>
      <c r="B98" s="402"/>
      <c r="C98" s="54">
        <f>SUM(C95:C97)</f>
        <v>112.90559999999999</v>
      </c>
    </row>
    <row r="99" spans="1:4" ht="32.15" customHeight="1" x14ac:dyDescent="0.3">
      <c r="A99" s="14" t="s">
        <v>12</v>
      </c>
      <c r="B99" s="32" t="s">
        <v>76</v>
      </c>
      <c r="C99" s="57">
        <f>(C45/100)*0.194</f>
        <v>3.6506143999999998</v>
      </c>
    </row>
    <row r="100" spans="1:4" ht="26" x14ac:dyDescent="0.3">
      <c r="A100" s="14" t="s">
        <v>13</v>
      </c>
      <c r="B100" s="67" t="s">
        <v>77</v>
      </c>
      <c r="C100" s="57">
        <f>(C45/100)*0.7</f>
        <v>13.172319999999999</v>
      </c>
      <c r="D100" s="45"/>
    </row>
    <row r="101" spans="1:4" ht="26" x14ac:dyDescent="0.3">
      <c r="A101" s="42" t="s">
        <v>14</v>
      </c>
      <c r="B101" s="46" t="s">
        <v>78</v>
      </c>
      <c r="C101" s="66">
        <f>(C45/100)*0.45</f>
        <v>8.4679199999999994</v>
      </c>
    </row>
    <row r="102" spans="1:4" x14ac:dyDescent="0.3">
      <c r="A102" s="401" t="s">
        <v>52</v>
      </c>
      <c r="B102" s="403"/>
      <c r="C102" s="54">
        <f>SUM(C99:C101)</f>
        <v>25.290854399999997</v>
      </c>
    </row>
    <row r="103" spans="1:4" x14ac:dyDescent="0.3">
      <c r="A103" s="395" t="s">
        <v>53</v>
      </c>
      <c r="B103" s="395"/>
      <c r="C103" s="65">
        <f>C98+C102</f>
        <v>138.19645439999999</v>
      </c>
    </row>
    <row r="105" spans="1:4" ht="13.5" thickBot="1" x14ac:dyDescent="0.35"/>
    <row r="106" spans="1:4" ht="16" thickBot="1" x14ac:dyDescent="0.35">
      <c r="A106" s="387" t="s">
        <v>33</v>
      </c>
      <c r="B106" s="388"/>
      <c r="C106" s="389"/>
    </row>
    <row r="108" spans="1:4" x14ac:dyDescent="0.3">
      <c r="A108" s="390" t="s">
        <v>34</v>
      </c>
      <c r="B108" s="390"/>
      <c r="C108" s="390"/>
    </row>
    <row r="109" spans="1:4" x14ac:dyDescent="0.3">
      <c r="A109" s="15"/>
    </row>
    <row r="110" spans="1:4" x14ac:dyDescent="0.3">
      <c r="A110" s="39" t="s">
        <v>35</v>
      </c>
      <c r="B110" s="43" t="s">
        <v>36</v>
      </c>
      <c r="C110" s="39" t="s">
        <v>8</v>
      </c>
    </row>
    <row r="111" spans="1:4" ht="26" x14ac:dyDescent="0.3">
      <c r="A111" s="42" t="s">
        <v>9</v>
      </c>
      <c r="B111" s="46" t="s">
        <v>79</v>
      </c>
      <c r="C111" s="58">
        <f>(C45/100)*0.95</f>
        <v>17.876719999999999</v>
      </c>
      <c r="D111" s="20"/>
    </row>
    <row r="112" spans="1:4" ht="26" x14ac:dyDescent="0.3">
      <c r="A112" s="42" t="s">
        <v>10</v>
      </c>
      <c r="B112" s="46" t="s">
        <v>80</v>
      </c>
      <c r="C112" s="58">
        <f>(C45/100)*4.17</f>
        <v>78.469391999999999</v>
      </c>
      <c r="D112" s="19"/>
    </row>
    <row r="113" spans="1:3" x14ac:dyDescent="0.3">
      <c r="A113" s="42" t="s">
        <v>11</v>
      </c>
      <c r="B113" s="47" t="s">
        <v>81</v>
      </c>
      <c r="C113" s="58">
        <f>(C45/100)*0.1</f>
        <v>1.8817599999999999</v>
      </c>
    </row>
    <row r="114" spans="1:3" ht="26" x14ac:dyDescent="0.3">
      <c r="A114" s="42" t="s">
        <v>12</v>
      </c>
      <c r="B114" s="47" t="s">
        <v>82</v>
      </c>
      <c r="C114" s="58">
        <f>(C45/100)*0.63</f>
        <v>11.855087999999999</v>
      </c>
    </row>
    <row r="115" spans="1:3" ht="26" x14ac:dyDescent="0.3">
      <c r="A115" s="42" t="s">
        <v>13</v>
      </c>
      <c r="B115" s="47" t="s">
        <v>83</v>
      </c>
      <c r="C115" s="58">
        <f>(C45/100)*0.02</f>
        <v>0.37635199999999996</v>
      </c>
    </row>
    <row r="116" spans="1:3" ht="26" x14ac:dyDescent="0.3">
      <c r="A116" s="42" t="s">
        <v>14</v>
      </c>
      <c r="B116" s="47" t="s">
        <v>96</v>
      </c>
      <c r="C116" s="58">
        <f>(C45/100)*9.68</f>
        <v>182.15436799999998</v>
      </c>
    </row>
    <row r="117" spans="1:3" x14ac:dyDescent="0.3">
      <c r="A117" s="374" t="s">
        <v>25</v>
      </c>
      <c r="B117" s="391"/>
      <c r="C117" s="56">
        <f>SUM(C111:C116)</f>
        <v>292.61367999999999</v>
      </c>
    </row>
    <row r="120" spans="1:3" x14ac:dyDescent="0.3">
      <c r="A120" s="390" t="s">
        <v>37</v>
      </c>
      <c r="B120" s="390"/>
      <c r="C120" s="390"/>
    </row>
    <row r="121" spans="1:3" x14ac:dyDescent="0.3">
      <c r="A121" s="15"/>
    </row>
    <row r="122" spans="1:3" x14ac:dyDescent="0.3">
      <c r="A122" s="39">
        <v>4</v>
      </c>
      <c r="B122" s="40" t="s">
        <v>38</v>
      </c>
      <c r="C122" s="39" t="s">
        <v>8</v>
      </c>
    </row>
    <row r="123" spans="1:3" x14ac:dyDescent="0.3">
      <c r="A123" s="14" t="s">
        <v>35</v>
      </c>
      <c r="B123" s="25" t="s">
        <v>36</v>
      </c>
      <c r="C123" s="55">
        <f>C117</f>
        <v>292.61367999999999</v>
      </c>
    </row>
    <row r="124" spans="1:3" x14ac:dyDescent="0.3">
      <c r="A124" s="374" t="s">
        <v>0</v>
      </c>
      <c r="B124" s="374"/>
      <c r="C124" s="56">
        <f>SUM(C123:C123)</f>
        <v>292.61367999999999</v>
      </c>
    </row>
    <row r="126" spans="1:3" ht="13.5" thickBot="1" x14ac:dyDescent="0.35"/>
    <row r="127" spans="1:3" ht="16" thickBot="1" x14ac:dyDescent="0.35">
      <c r="A127" s="387" t="s">
        <v>39</v>
      </c>
      <c r="B127" s="388"/>
      <c r="C127" s="389"/>
    </row>
    <row r="129" spans="1:5" x14ac:dyDescent="0.3">
      <c r="A129" s="39">
        <v>5</v>
      </c>
      <c r="B129" s="24" t="s">
        <v>1</v>
      </c>
      <c r="C129" s="39" t="s">
        <v>8</v>
      </c>
    </row>
    <row r="130" spans="1:5" x14ac:dyDescent="0.3">
      <c r="A130" s="14" t="s">
        <v>9</v>
      </c>
      <c r="B130" s="25" t="s">
        <v>40</v>
      </c>
      <c r="C130" s="29">
        <f>UNIFORMES!F10</f>
        <v>53.034166666666664</v>
      </c>
    </row>
    <row r="131" spans="1:5" x14ac:dyDescent="0.3">
      <c r="A131" s="14" t="s">
        <v>10</v>
      </c>
      <c r="B131" s="25" t="s">
        <v>41</v>
      </c>
      <c r="C131" s="29">
        <f>MATERIAIS!F29</f>
        <v>469.21999999999991</v>
      </c>
    </row>
    <row r="132" spans="1:5" x14ac:dyDescent="0.3">
      <c r="A132" s="14" t="s">
        <v>11</v>
      </c>
      <c r="B132" s="25" t="s">
        <v>125</v>
      </c>
      <c r="C132" s="29">
        <f>UTENSÍLIOS!F36</f>
        <v>85.690520833333309</v>
      </c>
    </row>
    <row r="133" spans="1:5" x14ac:dyDescent="0.3">
      <c r="A133" s="14" t="s">
        <v>12</v>
      </c>
      <c r="B133" s="25" t="s">
        <v>70</v>
      </c>
      <c r="C133" s="29">
        <f>'EQUIPAMENTOS '!F12</f>
        <v>8.552979166666665</v>
      </c>
    </row>
    <row r="134" spans="1:5" x14ac:dyDescent="0.3">
      <c r="A134" s="374" t="s">
        <v>25</v>
      </c>
      <c r="B134" s="374"/>
      <c r="C134" s="30">
        <f>SUM(C130:C133)</f>
        <v>616.49766666666653</v>
      </c>
    </row>
    <row r="136" spans="1:5" ht="13.5" thickBot="1" x14ac:dyDescent="0.35"/>
    <row r="137" spans="1:5" ht="16" thickBot="1" x14ac:dyDescent="0.35">
      <c r="A137" s="387" t="s">
        <v>42</v>
      </c>
      <c r="B137" s="388"/>
      <c r="C137" s="388"/>
      <c r="D137" s="389"/>
    </row>
    <row r="139" spans="1:5" x14ac:dyDescent="0.3">
      <c r="A139" s="39">
        <v>6</v>
      </c>
      <c r="B139" s="24" t="s">
        <v>2</v>
      </c>
      <c r="C139" s="39" t="s">
        <v>23</v>
      </c>
      <c r="D139" s="39" t="s">
        <v>8</v>
      </c>
    </row>
    <row r="140" spans="1:5" x14ac:dyDescent="0.3">
      <c r="A140" s="14" t="s">
        <v>9</v>
      </c>
      <c r="B140" s="25" t="s">
        <v>3</v>
      </c>
      <c r="C140" s="26">
        <v>0.06</v>
      </c>
      <c r="D140" s="55">
        <f>(C45+C89+C103+C124+C134)*C140</f>
        <v>293.73795675519995</v>
      </c>
    </row>
    <row r="141" spans="1:5" x14ac:dyDescent="0.3">
      <c r="A141" s="14" t="s">
        <v>10</v>
      </c>
      <c r="B141" s="25" t="s">
        <v>5</v>
      </c>
      <c r="C141" s="26">
        <v>6.7900000000000002E-2</v>
      </c>
      <c r="D141" s="55">
        <f>(C45+C89+C103+C124+C134)*C141</f>
        <v>332.41345439463464</v>
      </c>
    </row>
    <row r="142" spans="1:5" x14ac:dyDescent="0.3">
      <c r="A142" s="14" t="s">
        <v>11</v>
      </c>
      <c r="B142" s="25" t="s">
        <v>4</v>
      </c>
      <c r="C142" s="26"/>
      <c r="D142" s="55"/>
    </row>
    <row r="143" spans="1:5" x14ac:dyDescent="0.3">
      <c r="A143" s="14"/>
      <c r="B143" s="25" t="s">
        <v>48</v>
      </c>
      <c r="C143" s="41">
        <v>1.6500000000000001E-2</v>
      </c>
      <c r="D143" s="55">
        <f>(C45+C89+C103+C124+C134)*C143</f>
        <v>80.777938107680001</v>
      </c>
      <c r="E143" s="38" t="s">
        <v>74</v>
      </c>
    </row>
    <row r="144" spans="1:5" x14ac:dyDescent="0.3">
      <c r="A144" s="14"/>
      <c r="B144" s="25" t="s">
        <v>49</v>
      </c>
      <c r="C144" s="41">
        <v>7.5999999999999998E-2</v>
      </c>
      <c r="D144" s="55">
        <f>(C45+C89+C103+C124+C134)*C144</f>
        <v>372.06807855658661</v>
      </c>
      <c r="E144" s="38" t="s">
        <v>74</v>
      </c>
    </row>
    <row r="145" spans="1:6" x14ac:dyDescent="0.3">
      <c r="A145" s="14"/>
      <c r="B145" s="25" t="s">
        <v>43</v>
      </c>
      <c r="C145" s="26"/>
      <c r="D145" s="55"/>
    </row>
    <row r="146" spans="1:6" x14ac:dyDescent="0.3">
      <c r="A146" s="14"/>
      <c r="B146" s="25" t="s">
        <v>152</v>
      </c>
      <c r="C146" s="26">
        <v>0.05</v>
      </c>
      <c r="D146" s="59">
        <f>(C45+C89+C103+C124+C134)*C146</f>
        <v>244.78163062933334</v>
      </c>
    </row>
    <row r="147" spans="1:6" x14ac:dyDescent="0.3">
      <c r="A147" s="14"/>
      <c r="B147" s="25" t="s">
        <v>55</v>
      </c>
      <c r="C147" s="27">
        <f>SUM(C140:C146)</f>
        <v>0.27040000000000003</v>
      </c>
      <c r="D147" s="55">
        <f>(C45+C89+C103+C124+C134)*C147</f>
        <v>1323.7790584434347</v>
      </c>
      <c r="E147" s="18"/>
      <c r="F147" s="19"/>
    </row>
    <row r="148" spans="1:6" x14ac:dyDescent="0.3">
      <c r="A148" s="374" t="s">
        <v>25</v>
      </c>
      <c r="B148" s="374"/>
      <c r="C148" s="26"/>
      <c r="D148" s="56">
        <f>D147</f>
        <v>1323.7790584434347</v>
      </c>
    </row>
    <row r="150" spans="1:6" ht="13.5" thickBot="1" x14ac:dyDescent="0.35"/>
    <row r="151" spans="1:6" ht="16" thickBot="1" x14ac:dyDescent="0.35">
      <c r="A151" s="371" t="s">
        <v>44</v>
      </c>
      <c r="B151" s="372"/>
      <c r="C151" s="373"/>
    </row>
    <row r="153" spans="1:6" x14ac:dyDescent="0.3">
      <c r="A153" s="39"/>
      <c r="B153" s="39" t="s">
        <v>45</v>
      </c>
      <c r="C153" s="39" t="s">
        <v>8</v>
      </c>
    </row>
    <row r="154" spans="1:6" x14ac:dyDescent="0.3">
      <c r="A154" s="39" t="s">
        <v>9</v>
      </c>
      <c r="B154" s="25" t="s">
        <v>6</v>
      </c>
      <c r="C154" s="60">
        <f>C45</f>
        <v>1881.7599999999998</v>
      </c>
    </row>
    <row r="155" spans="1:6" x14ac:dyDescent="0.3">
      <c r="A155" s="39" t="s">
        <v>10</v>
      </c>
      <c r="B155" s="25" t="s">
        <v>16</v>
      </c>
      <c r="C155" s="60">
        <f>C89</f>
        <v>1966.5648115200001</v>
      </c>
    </row>
    <row r="156" spans="1:6" x14ac:dyDescent="0.3">
      <c r="A156" s="39" t="s">
        <v>11</v>
      </c>
      <c r="B156" s="25" t="s">
        <v>31</v>
      </c>
      <c r="C156" s="60">
        <f>C103</f>
        <v>138.19645439999999</v>
      </c>
    </row>
    <row r="157" spans="1:6" x14ac:dyDescent="0.3">
      <c r="A157" s="39" t="s">
        <v>12</v>
      </c>
      <c r="B157" s="28" t="s">
        <v>33</v>
      </c>
      <c r="C157" s="60">
        <f>C124</f>
        <v>292.61367999999999</v>
      </c>
    </row>
    <row r="158" spans="1:6" x14ac:dyDescent="0.3">
      <c r="A158" s="39" t="s">
        <v>13</v>
      </c>
      <c r="B158" s="25" t="s">
        <v>39</v>
      </c>
      <c r="C158" s="60">
        <f>C134</f>
        <v>616.49766666666653</v>
      </c>
    </row>
    <row r="159" spans="1:6" x14ac:dyDescent="0.3">
      <c r="A159" s="374" t="s">
        <v>46</v>
      </c>
      <c r="B159" s="374"/>
      <c r="C159" s="61">
        <f>SUM(C154:C158)</f>
        <v>4895.6326125866663</v>
      </c>
    </row>
    <row r="160" spans="1:6" x14ac:dyDescent="0.3">
      <c r="A160" s="39" t="s">
        <v>14</v>
      </c>
      <c r="B160" s="25" t="s">
        <v>47</v>
      </c>
      <c r="C160" s="60">
        <f>D148</f>
        <v>1323.7790584434347</v>
      </c>
    </row>
    <row r="161" spans="1:5" x14ac:dyDescent="0.3">
      <c r="A161" s="374" t="s">
        <v>160</v>
      </c>
      <c r="B161" s="374"/>
      <c r="C161" s="62">
        <f>C159+C160</f>
        <v>6219.4116710301005</v>
      </c>
      <c r="D161" s="17"/>
    </row>
    <row r="162" spans="1:5" x14ac:dyDescent="0.3">
      <c r="A162" s="375" t="s">
        <v>56</v>
      </c>
      <c r="B162" s="376"/>
      <c r="C162" s="63">
        <f>12*C161</f>
        <v>74632.940052361198</v>
      </c>
      <c r="D162" s="17"/>
    </row>
    <row r="163" spans="1:5" x14ac:dyDescent="0.3">
      <c r="A163" s="385" t="s">
        <v>162</v>
      </c>
      <c r="B163" s="386"/>
      <c r="C163" s="113">
        <f>7*C162</f>
        <v>522430.58036652836</v>
      </c>
      <c r="D163" s="17"/>
    </row>
    <row r="164" spans="1:5" x14ac:dyDescent="0.3">
      <c r="A164" s="383" t="s">
        <v>142</v>
      </c>
      <c r="B164" s="384"/>
      <c r="C164" s="62">
        <f>2*C163</f>
        <v>1044861.1607330567</v>
      </c>
      <c r="D164" s="17"/>
    </row>
    <row r="165" spans="1:5" s="50" customFormat="1" ht="13.5" thickBot="1" x14ac:dyDescent="0.35">
      <c r="A165" s="380" t="s">
        <v>97</v>
      </c>
      <c r="B165" s="381"/>
      <c r="C165" s="382"/>
      <c r="D165" s="48"/>
      <c r="E165" s="49"/>
    </row>
    <row r="166" spans="1:5" s="50" customFormat="1" ht="91.4" customHeight="1" thickBot="1" x14ac:dyDescent="0.35">
      <c r="A166" s="377" t="s">
        <v>86</v>
      </c>
      <c r="B166" s="378"/>
      <c r="C166" s="379"/>
    </row>
  </sheetData>
  <mergeCells count="43">
    <mergeCell ref="A50:C50"/>
    <mergeCell ref="A39:C39"/>
    <mergeCell ref="A45:B45"/>
    <mergeCell ref="A48:C48"/>
    <mergeCell ref="A103:B103"/>
    <mergeCell ref="A55:B55"/>
    <mergeCell ref="A58:D58"/>
    <mergeCell ref="A68:B68"/>
    <mergeCell ref="A70:B70"/>
    <mergeCell ref="A73:C73"/>
    <mergeCell ref="A80:B80"/>
    <mergeCell ref="A83:C83"/>
    <mergeCell ref="A89:B89"/>
    <mergeCell ref="A92:C92"/>
    <mergeCell ref="A98:B98"/>
    <mergeCell ref="A102:B102"/>
    <mergeCell ref="A148:B148"/>
    <mergeCell ref="A106:C106"/>
    <mergeCell ref="A108:C108"/>
    <mergeCell ref="A117:B117"/>
    <mergeCell ref="A120:C120"/>
    <mergeCell ref="A124:B124"/>
    <mergeCell ref="A127:C127"/>
    <mergeCell ref="A134:B134"/>
    <mergeCell ref="A137:D137"/>
    <mergeCell ref="A151:C151"/>
    <mergeCell ref="A159:B159"/>
    <mergeCell ref="A161:B161"/>
    <mergeCell ref="A162:B162"/>
    <mergeCell ref="A166:C166"/>
    <mergeCell ref="A165:C165"/>
    <mergeCell ref="A164:B164"/>
    <mergeCell ref="A163:B163"/>
    <mergeCell ref="A1:C1"/>
    <mergeCell ref="A2:C2"/>
    <mergeCell ref="A4:C4"/>
    <mergeCell ref="A5:C5"/>
    <mergeCell ref="A6:C6"/>
    <mergeCell ref="A10:C10"/>
    <mergeCell ref="A18:A21"/>
    <mergeCell ref="A22:B22"/>
    <mergeCell ref="A25:C25"/>
    <mergeCell ref="A30:C30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66"/>
  <sheetViews>
    <sheetView showGridLines="0" topLeftCell="A13" zoomScaleNormal="100" workbookViewId="0">
      <selection activeCell="F29" sqref="F28:F29"/>
    </sheetView>
  </sheetViews>
  <sheetFormatPr defaultColWidth="9.1796875" defaultRowHeight="13" x14ac:dyDescent="0.3"/>
  <cols>
    <col min="1" max="1" width="17.26953125" style="5" bestFit="1" customWidth="1"/>
    <col min="2" max="2" width="72.1796875" style="5" customWidth="1"/>
    <col min="3" max="3" width="20.26953125" style="5" bestFit="1" customWidth="1"/>
    <col min="4" max="4" width="15.26953125" style="5" bestFit="1" customWidth="1"/>
    <col min="5" max="5" width="14.7265625" style="5" customWidth="1"/>
    <col min="6" max="6" width="12" style="5" customWidth="1"/>
    <col min="7" max="7" width="15.1796875" style="5" customWidth="1"/>
    <col min="8" max="16384" width="9.1796875" style="5"/>
  </cols>
  <sheetData>
    <row r="1" spans="1:3" x14ac:dyDescent="0.3">
      <c r="A1" s="366" t="s">
        <v>59</v>
      </c>
      <c r="B1" s="366"/>
      <c r="C1" s="366"/>
    </row>
    <row r="2" spans="1:3" x14ac:dyDescent="0.3">
      <c r="A2" s="367" t="s">
        <v>146</v>
      </c>
      <c r="B2" s="367"/>
      <c r="C2" s="367"/>
    </row>
    <row r="3" spans="1:3" x14ac:dyDescent="0.3">
      <c r="A3" s="37"/>
      <c r="B3" s="37"/>
      <c r="C3" s="37"/>
    </row>
    <row r="4" spans="1:3" x14ac:dyDescent="0.3">
      <c r="A4" s="368" t="s">
        <v>420</v>
      </c>
      <c r="B4" s="368"/>
      <c r="C4" s="368"/>
    </row>
    <row r="5" spans="1:3" x14ac:dyDescent="0.3">
      <c r="A5" s="369" t="s">
        <v>147</v>
      </c>
      <c r="B5" s="369"/>
      <c r="C5" s="369"/>
    </row>
    <row r="6" spans="1:3" x14ac:dyDescent="0.3">
      <c r="A6" s="370" t="s">
        <v>148</v>
      </c>
      <c r="B6" s="370"/>
      <c r="C6" s="370"/>
    </row>
    <row r="10" spans="1:3" x14ac:dyDescent="0.3">
      <c r="A10" s="362" t="s">
        <v>60</v>
      </c>
      <c r="B10" s="362"/>
      <c r="C10" s="362"/>
    </row>
    <row r="11" spans="1:3" x14ac:dyDescent="0.3">
      <c r="A11" s="14" t="s">
        <v>9</v>
      </c>
      <c r="B11" s="13" t="s">
        <v>61</v>
      </c>
      <c r="C11" s="6" t="s">
        <v>149</v>
      </c>
    </row>
    <row r="12" spans="1:3" x14ac:dyDescent="0.3">
      <c r="A12" s="14" t="s">
        <v>10</v>
      </c>
      <c r="B12" s="13" t="s">
        <v>62</v>
      </c>
      <c r="C12" s="7" t="s">
        <v>150</v>
      </c>
    </row>
    <row r="13" spans="1:3" ht="15.65" customHeight="1" x14ac:dyDescent="0.3">
      <c r="A13" s="14" t="s">
        <v>11</v>
      </c>
      <c r="B13" s="13" t="s">
        <v>63</v>
      </c>
      <c r="C13" s="21" t="s">
        <v>151</v>
      </c>
    </row>
    <row r="14" spans="1:3" x14ac:dyDescent="0.3">
      <c r="A14" s="14" t="s">
        <v>12</v>
      </c>
      <c r="B14" s="13" t="s">
        <v>64</v>
      </c>
      <c r="C14" s="8">
        <v>12</v>
      </c>
    </row>
    <row r="17" spans="1:3" x14ac:dyDescent="0.3">
      <c r="A17" s="68" t="s">
        <v>110</v>
      </c>
      <c r="B17" s="68" t="s">
        <v>111</v>
      </c>
      <c r="C17" s="68" t="s">
        <v>112</v>
      </c>
    </row>
    <row r="18" spans="1:3" x14ac:dyDescent="0.3">
      <c r="A18" s="363" t="s">
        <v>113</v>
      </c>
      <c r="B18" s="69" t="s">
        <v>114</v>
      </c>
      <c r="C18" s="70">
        <v>7799.31</v>
      </c>
    </row>
    <row r="19" spans="1:3" x14ac:dyDescent="0.3">
      <c r="A19" s="363"/>
      <c r="B19" s="71" t="s">
        <v>115</v>
      </c>
      <c r="C19" s="72">
        <v>922.71</v>
      </c>
    </row>
    <row r="20" spans="1:3" x14ac:dyDescent="0.3">
      <c r="A20" s="363"/>
      <c r="B20" s="71" t="s">
        <v>116</v>
      </c>
      <c r="C20" s="72">
        <v>24.55</v>
      </c>
    </row>
    <row r="21" spans="1:3" x14ac:dyDescent="0.3">
      <c r="A21" s="363"/>
      <c r="B21" s="71" t="s">
        <v>117</v>
      </c>
      <c r="C21" s="73">
        <v>30.23</v>
      </c>
    </row>
    <row r="22" spans="1:3" x14ac:dyDescent="0.3">
      <c r="A22" s="364"/>
      <c r="B22" s="364"/>
      <c r="C22" s="74">
        <f>SUM(C18:C21)</f>
        <v>8776.7999999999993</v>
      </c>
    </row>
    <row r="25" spans="1:3" x14ac:dyDescent="0.3">
      <c r="A25" s="365" t="s">
        <v>118</v>
      </c>
      <c r="B25" s="365"/>
      <c r="C25" s="365"/>
    </row>
    <row r="26" spans="1:3" ht="36" x14ac:dyDescent="0.3">
      <c r="A26" s="75" t="s">
        <v>110</v>
      </c>
      <c r="B26" s="75" t="s">
        <v>119</v>
      </c>
      <c r="C26" s="76" t="s">
        <v>120</v>
      </c>
    </row>
    <row r="27" spans="1:3" x14ac:dyDescent="0.3">
      <c r="A27" s="77" t="s">
        <v>121</v>
      </c>
      <c r="B27" s="78" t="s">
        <v>122</v>
      </c>
      <c r="C27" s="79">
        <f>C22</f>
        <v>8776.7999999999993</v>
      </c>
    </row>
    <row r="29" spans="1:3" ht="15" customHeight="1" x14ac:dyDescent="0.3"/>
    <row r="30" spans="1:3" ht="15" customHeight="1" x14ac:dyDescent="0.3">
      <c r="A30" s="362" t="s">
        <v>65</v>
      </c>
      <c r="B30" s="362"/>
      <c r="C30" s="362"/>
    </row>
    <row r="31" spans="1:3" ht="15" customHeight="1" x14ac:dyDescent="0.3">
      <c r="A31" s="14">
        <v>1</v>
      </c>
      <c r="B31" s="10" t="s">
        <v>66</v>
      </c>
      <c r="C31" s="44" t="s">
        <v>123</v>
      </c>
    </row>
    <row r="32" spans="1:3" ht="15" customHeight="1" x14ac:dyDescent="0.3">
      <c r="A32" s="14">
        <v>2</v>
      </c>
      <c r="B32" s="10" t="s">
        <v>67</v>
      </c>
      <c r="C32" s="22" t="s">
        <v>124</v>
      </c>
    </row>
    <row r="33" spans="1:4" ht="15" customHeight="1" x14ac:dyDescent="0.3">
      <c r="A33" s="14">
        <v>3</v>
      </c>
      <c r="B33" s="11" t="s">
        <v>153</v>
      </c>
      <c r="C33" s="23">
        <v>1403.85</v>
      </c>
      <c r="D33" s="51"/>
    </row>
    <row r="34" spans="1:4" ht="15" customHeight="1" x14ac:dyDescent="0.3">
      <c r="A34" s="14">
        <v>4</v>
      </c>
      <c r="B34" s="10" t="s">
        <v>68</v>
      </c>
      <c r="C34" s="9" t="s">
        <v>154</v>
      </c>
    </row>
    <row r="35" spans="1:4" ht="15" customHeight="1" x14ac:dyDescent="0.3">
      <c r="A35" s="14">
        <v>5</v>
      </c>
      <c r="B35" s="10" t="s">
        <v>69</v>
      </c>
      <c r="C35" s="12">
        <v>44927</v>
      </c>
    </row>
    <row r="38" spans="1:4" ht="13.5" thickBot="1" x14ac:dyDescent="0.35"/>
    <row r="39" spans="1:4" ht="16" thickBot="1" x14ac:dyDescent="0.35">
      <c r="A39" s="387" t="s">
        <v>6</v>
      </c>
      <c r="B39" s="388"/>
      <c r="C39" s="389"/>
    </row>
    <row r="41" spans="1:4" x14ac:dyDescent="0.3">
      <c r="A41" s="39">
        <v>1</v>
      </c>
      <c r="B41" s="39" t="s">
        <v>7</v>
      </c>
      <c r="C41" s="39" t="s">
        <v>8</v>
      </c>
    </row>
    <row r="42" spans="1:4" x14ac:dyDescent="0.3">
      <c r="A42" s="14" t="s">
        <v>9</v>
      </c>
      <c r="B42" s="25" t="s">
        <v>156</v>
      </c>
      <c r="C42" s="52">
        <f>C33</f>
        <v>1403.85</v>
      </c>
    </row>
    <row r="43" spans="1:4" ht="26" x14ac:dyDescent="0.3">
      <c r="A43" s="14" t="s">
        <v>10</v>
      </c>
      <c r="B43" s="25" t="s">
        <v>437</v>
      </c>
      <c r="C43" s="112">
        <f>(1412/100)*30</f>
        <v>423.59999999999997</v>
      </c>
    </row>
    <row r="44" spans="1:4" x14ac:dyDescent="0.3">
      <c r="A44" s="14" t="s">
        <v>11</v>
      </c>
      <c r="B44" s="25" t="s">
        <v>157</v>
      </c>
      <c r="C44" s="463">
        <v>54.31</v>
      </c>
    </row>
    <row r="45" spans="1:4" x14ac:dyDescent="0.3">
      <c r="A45" s="80" t="s">
        <v>12</v>
      </c>
      <c r="B45" s="37" t="s">
        <v>161</v>
      </c>
      <c r="C45" s="106">
        <f>(C42/100)*20</f>
        <v>280.77</v>
      </c>
    </row>
    <row r="46" spans="1:4" x14ac:dyDescent="0.3">
      <c r="A46" s="392" t="s">
        <v>0</v>
      </c>
      <c r="B46" s="393"/>
      <c r="C46" s="114">
        <f>SUM(C42:C45)</f>
        <v>2162.5299999999997</v>
      </c>
    </row>
    <row r="49" spans="1:5" x14ac:dyDescent="0.3">
      <c r="A49" s="394" t="s">
        <v>16</v>
      </c>
      <c r="B49" s="394"/>
      <c r="C49" s="394"/>
    </row>
    <row r="50" spans="1:5" x14ac:dyDescent="0.3">
      <c r="A50" s="15"/>
    </row>
    <row r="51" spans="1:5" x14ac:dyDescent="0.3">
      <c r="A51" s="390" t="s">
        <v>17</v>
      </c>
      <c r="B51" s="390"/>
      <c r="C51" s="390"/>
    </row>
    <row r="53" spans="1:5" x14ac:dyDescent="0.3">
      <c r="A53" s="39" t="s">
        <v>18</v>
      </c>
      <c r="B53" s="39" t="s">
        <v>19</v>
      </c>
      <c r="C53" s="39" t="s">
        <v>8</v>
      </c>
    </row>
    <row r="54" spans="1:5" x14ac:dyDescent="0.3">
      <c r="A54" s="14" t="s">
        <v>9</v>
      </c>
      <c r="B54" s="25" t="s">
        <v>84</v>
      </c>
      <c r="C54" s="52">
        <f>C46/12</f>
        <v>180.21083333333331</v>
      </c>
    </row>
    <row r="55" spans="1:5" x14ac:dyDescent="0.3">
      <c r="A55" s="14" t="s">
        <v>10</v>
      </c>
      <c r="B55" s="25" t="s">
        <v>85</v>
      </c>
      <c r="C55" s="52">
        <f>(C46/100)*12.1</f>
        <v>261.66612999999995</v>
      </c>
    </row>
    <row r="56" spans="1:5" x14ac:dyDescent="0.3">
      <c r="A56" s="374" t="s">
        <v>0</v>
      </c>
      <c r="B56" s="374"/>
      <c r="C56" s="54">
        <f>SUM(C54:C55)</f>
        <v>441.87696333333326</v>
      </c>
    </row>
    <row r="59" spans="1:5" ht="32.25" customHeight="1" x14ac:dyDescent="0.3">
      <c r="A59" s="396" t="s">
        <v>20</v>
      </c>
      <c r="B59" s="396"/>
      <c r="C59" s="396"/>
      <c r="D59" s="396"/>
    </row>
    <row r="61" spans="1:5" x14ac:dyDescent="0.3">
      <c r="A61" s="39" t="s">
        <v>21</v>
      </c>
      <c r="B61" s="39" t="s">
        <v>22</v>
      </c>
      <c r="C61" s="39" t="s">
        <v>23</v>
      </c>
      <c r="D61" s="39" t="s">
        <v>8</v>
      </c>
    </row>
    <row r="62" spans="1:5" x14ac:dyDescent="0.3">
      <c r="A62" s="14" t="s">
        <v>9</v>
      </c>
      <c r="B62" s="25" t="s">
        <v>88</v>
      </c>
      <c r="C62" s="33">
        <v>0.2</v>
      </c>
      <c r="D62" s="52">
        <f>(C46+C56)*C62</f>
        <v>520.88139266666656</v>
      </c>
    </row>
    <row r="63" spans="1:5" x14ac:dyDescent="0.3">
      <c r="A63" s="14" t="s">
        <v>10</v>
      </c>
      <c r="B63" s="25" t="s">
        <v>94</v>
      </c>
      <c r="C63" s="33">
        <v>2.5000000000000001E-2</v>
      </c>
      <c r="D63" s="52">
        <f>(C46+C56)*C63</f>
        <v>65.11017408333332</v>
      </c>
    </row>
    <row r="64" spans="1:5" x14ac:dyDescent="0.3">
      <c r="A64" s="14" t="s">
        <v>11</v>
      </c>
      <c r="B64" s="25" t="s">
        <v>93</v>
      </c>
      <c r="C64" s="34">
        <v>0.03</v>
      </c>
      <c r="D64" s="52">
        <f>(C46+C56)*C64</f>
        <v>78.132208899999981</v>
      </c>
      <c r="E64" s="38" t="s">
        <v>73</v>
      </c>
    </row>
    <row r="65" spans="1:5" x14ac:dyDescent="0.3">
      <c r="A65" s="14" t="s">
        <v>12</v>
      </c>
      <c r="B65" s="25" t="s">
        <v>89</v>
      </c>
      <c r="C65" s="33">
        <v>1.4999999999999999E-2</v>
      </c>
      <c r="D65" s="52">
        <f>(C46+C56)*C65</f>
        <v>39.06610444999999</v>
      </c>
    </row>
    <row r="66" spans="1:5" x14ac:dyDescent="0.3">
      <c r="A66" s="14" t="s">
        <v>13</v>
      </c>
      <c r="B66" s="25" t="s">
        <v>90</v>
      </c>
      <c r="C66" s="33">
        <v>0.01</v>
      </c>
      <c r="D66" s="52">
        <f>(C46+C56)*C66</f>
        <v>26.044069633333329</v>
      </c>
    </row>
    <row r="67" spans="1:5" x14ac:dyDescent="0.3">
      <c r="A67" s="14" t="s">
        <v>14</v>
      </c>
      <c r="B67" s="25" t="s">
        <v>91</v>
      </c>
      <c r="C67" s="33">
        <v>6.0000000000000001E-3</v>
      </c>
      <c r="D67" s="52">
        <f>(C46+C46)*C67</f>
        <v>25.950359999999996</v>
      </c>
    </row>
    <row r="68" spans="1:5" x14ac:dyDescent="0.3">
      <c r="A68" s="14" t="s">
        <v>15</v>
      </c>
      <c r="B68" s="25" t="s">
        <v>92</v>
      </c>
      <c r="C68" s="33">
        <v>2E-3</v>
      </c>
      <c r="D68" s="52">
        <f>(C46+C56)*C68</f>
        <v>5.2088139266666662</v>
      </c>
    </row>
    <row r="69" spans="1:5" x14ac:dyDescent="0.3">
      <c r="A69" s="397" t="s">
        <v>50</v>
      </c>
      <c r="B69" s="397"/>
      <c r="C69" s="35">
        <f>SUM(C62:C68)</f>
        <v>0.28800000000000003</v>
      </c>
      <c r="D69" s="53">
        <f>SUM(D62:D68)</f>
        <v>760.39312366000001</v>
      </c>
    </row>
    <row r="70" spans="1:5" x14ac:dyDescent="0.3">
      <c r="A70" s="14" t="s">
        <v>24</v>
      </c>
      <c r="B70" s="25" t="s">
        <v>95</v>
      </c>
      <c r="C70" s="33">
        <v>0.08</v>
      </c>
      <c r="D70" s="52">
        <f>(C46+C56)*C70</f>
        <v>208.35255706666663</v>
      </c>
    </row>
    <row r="71" spans="1:5" x14ac:dyDescent="0.3">
      <c r="A71" s="374" t="s">
        <v>25</v>
      </c>
      <c r="B71" s="374"/>
      <c r="C71" s="36">
        <f>SUM(C69:C70)</f>
        <v>0.36800000000000005</v>
      </c>
      <c r="D71" s="54">
        <f>SUM(D69:D70)</f>
        <v>968.74568072666671</v>
      </c>
    </row>
    <row r="74" spans="1:5" x14ac:dyDescent="0.3">
      <c r="A74" s="390" t="s">
        <v>26</v>
      </c>
      <c r="B74" s="390"/>
      <c r="C74" s="390"/>
    </row>
    <row r="76" spans="1:5" x14ac:dyDescent="0.3">
      <c r="A76" s="39" t="s">
        <v>27</v>
      </c>
      <c r="B76" s="39" t="s">
        <v>28</v>
      </c>
      <c r="C76" s="39" t="s">
        <v>8</v>
      </c>
    </row>
    <row r="77" spans="1:5" x14ac:dyDescent="0.3">
      <c r="A77" s="14" t="s">
        <v>9</v>
      </c>
      <c r="B77" s="25" t="s">
        <v>400</v>
      </c>
      <c r="C77" s="64">
        <f>(4.95*2*22)-(C42/100)*6</f>
        <v>133.56900000000002</v>
      </c>
      <c r="D77" s="20"/>
      <c r="E77" s="20"/>
    </row>
    <row r="78" spans="1:5" x14ac:dyDescent="0.3">
      <c r="A78" s="14" t="s">
        <v>10</v>
      </c>
      <c r="B78" s="25" t="s">
        <v>159</v>
      </c>
      <c r="C78" s="52">
        <f>(19.9*22)-(437.8/100)*5</f>
        <v>415.90999999999997</v>
      </c>
      <c r="D78" s="17"/>
    </row>
    <row r="79" spans="1:5" x14ac:dyDescent="0.3">
      <c r="A79" s="14" t="s">
        <v>11</v>
      </c>
      <c r="B79" s="1" t="s">
        <v>158</v>
      </c>
      <c r="C79" s="83">
        <v>49</v>
      </c>
    </row>
    <row r="80" spans="1:5" x14ac:dyDescent="0.3">
      <c r="A80" s="14" t="s">
        <v>12</v>
      </c>
      <c r="B80" s="25" t="s">
        <v>155</v>
      </c>
      <c r="C80" s="52">
        <v>140.61000000000001</v>
      </c>
    </row>
    <row r="81" spans="1:3" x14ac:dyDescent="0.3">
      <c r="A81" s="374" t="s">
        <v>0</v>
      </c>
      <c r="B81" s="374"/>
      <c r="C81" s="54">
        <f>SUM(C77:C80)</f>
        <v>739.08900000000006</v>
      </c>
    </row>
    <row r="84" spans="1:3" x14ac:dyDescent="0.3">
      <c r="A84" s="390" t="s">
        <v>29</v>
      </c>
      <c r="B84" s="390"/>
      <c r="C84" s="390"/>
    </row>
    <row r="86" spans="1:3" x14ac:dyDescent="0.3">
      <c r="A86" s="39">
        <v>2</v>
      </c>
      <c r="B86" s="39" t="s">
        <v>30</v>
      </c>
      <c r="C86" s="39" t="s">
        <v>8</v>
      </c>
    </row>
    <row r="87" spans="1:3" x14ac:dyDescent="0.3">
      <c r="A87" s="14" t="s">
        <v>18</v>
      </c>
      <c r="B87" s="25" t="s">
        <v>19</v>
      </c>
      <c r="C87" s="55">
        <f>C56</f>
        <v>441.87696333333326</v>
      </c>
    </row>
    <row r="88" spans="1:3" x14ac:dyDescent="0.3">
      <c r="A88" s="14" t="s">
        <v>21</v>
      </c>
      <c r="B88" s="25" t="s">
        <v>22</v>
      </c>
      <c r="C88" s="55">
        <f>D71</f>
        <v>968.74568072666671</v>
      </c>
    </row>
    <row r="89" spans="1:3" x14ac:dyDescent="0.3">
      <c r="A89" s="14" t="s">
        <v>27</v>
      </c>
      <c r="B89" s="25" t="s">
        <v>28</v>
      </c>
      <c r="C89" s="55">
        <f>C81</f>
        <v>739.08900000000006</v>
      </c>
    </row>
    <row r="90" spans="1:3" x14ac:dyDescent="0.3">
      <c r="A90" s="374" t="s">
        <v>0</v>
      </c>
      <c r="B90" s="374"/>
      <c r="C90" s="56">
        <f>SUM(C87:C89)</f>
        <v>2149.7116440599998</v>
      </c>
    </row>
    <row r="91" spans="1:3" x14ac:dyDescent="0.3">
      <c r="A91" s="16"/>
    </row>
    <row r="92" spans="1:3" ht="13.5" thickBot="1" x14ac:dyDescent="0.35"/>
    <row r="93" spans="1:3" ht="13.5" thickBot="1" x14ac:dyDescent="0.35">
      <c r="A93" s="398" t="s">
        <v>31</v>
      </c>
      <c r="B93" s="399"/>
      <c r="C93" s="400"/>
    </row>
    <row r="95" spans="1:3" x14ac:dyDescent="0.3">
      <c r="A95" s="39">
        <v>3</v>
      </c>
      <c r="B95" s="39" t="s">
        <v>32</v>
      </c>
      <c r="C95" s="39" t="s">
        <v>8</v>
      </c>
    </row>
    <row r="96" spans="1:3" x14ac:dyDescent="0.3">
      <c r="A96" s="14" t="s">
        <v>9</v>
      </c>
      <c r="B96" s="31" t="s">
        <v>71</v>
      </c>
      <c r="C96" s="52">
        <f>(C46/100)*1.81</f>
        <v>39.141792999999993</v>
      </c>
    </row>
    <row r="97" spans="1:4" x14ac:dyDescent="0.3">
      <c r="A97" s="14" t="s">
        <v>10</v>
      </c>
      <c r="B97" s="31" t="s">
        <v>72</v>
      </c>
      <c r="C97" s="52">
        <f>(C46/100)*0.14</f>
        <v>3.0275419999999995</v>
      </c>
    </row>
    <row r="98" spans="1:4" ht="26" x14ac:dyDescent="0.3">
      <c r="A98" s="14" t="s">
        <v>11</v>
      </c>
      <c r="B98" s="31" t="s">
        <v>75</v>
      </c>
      <c r="C98" s="52">
        <f>(C46/100)*4.05</f>
        <v>87.582464999999985</v>
      </c>
    </row>
    <row r="99" spans="1:4" x14ac:dyDescent="0.3">
      <c r="A99" s="401" t="s">
        <v>51</v>
      </c>
      <c r="B99" s="402"/>
      <c r="C99" s="54">
        <f>SUM(C96:C98)</f>
        <v>129.75179999999997</v>
      </c>
    </row>
    <row r="100" spans="1:4" ht="32.15" customHeight="1" x14ac:dyDescent="0.3">
      <c r="A100" s="14" t="s">
        <v>12</v>
      </c>
      <c r="B100" s="32" t="s">
        <v>76</v>
      </c>
      <c r="C100" s="57">
        <f>(C46/100)*0.194</f>
        <v>4.1953081999999995</v>
      </c>
    </row>
    <row r="101" spans="1:4" ht="26" x14ac:dyDescent="0.3">
      <c r="A101" s="14" t="s">
        <v>13</v>
      </c>
      <c r="B101" s="67" t="s">
        <v>77</v>
      </c>
      <c r="C101" s="57">
        <f>(C46/100)*0.7</f>
        <v>15.137709999999997</v>
      </c>
      <c r="D101" s="45"/>
    </row>
    <row r="102" spans="1:4" ht="26" x14ac:dyDescent="0.3">
      <c r="A102" s="42" t="s">
        <v>14</v>
      </c>
      <c r="B102" s="46" t="s">
        <v>78</v>
      </c>
      <c r="C102" s="66">
        <f>(C46/100)*0.45</f>
        <v>9.7313849999999977</v>
      </c>
    </row>
    <row r="103" spans="1:4" x14ac:dyDescent="0.3">
      <c r="A103" s="401" t="s">
        <v>52</v>
      </c>
      <c r="B103" s="403"/>
      <c r="C103" s="54">
        <f>SUM(C100:C102)</f>
        <v>29.064403199999994</v>
      </c>
    </row>
    <row r="104" spans="1:4" x14ac:dyDescent="0.3">
      <c r="A104" s="395" t="s">
        <v>53</v>
      </c>
      <c r="B104" s="395"/>
      <c r="C104" s="65">
        <f>C99+C103</f>
        <v>158.81620319999996</v>
      </c>
    </row>
    <row r="106" spans="1:4" ht="13.5" thickBot="1" x14ac:dyDescent="0.35"/>
    <row r="107" spans="1:4" ht="16" thickBot="1" x14ac:dyDescent="0.35">
      <c r="A107" s="387" t="s">
        <v>33</v>
      </c>
      <c r="B107" s="388"/>
      <c r="C107" s="389"/>
    </row>
    <row r="109" spans="1:4" x14ac:dyDescent="0.3">
      <c r="A109" s="390" t="s">
        <v>34</v>
      </c>
      <c r="B109" s="390"/>
      <c r="C109" s="390"/>
    </row>
    <row r="110" spans="1:4" x14ac:dyDescent="0.3">
      <c r="A110" s="15"/>
    </row>
    <row r="111" spans="1:4" x14ac:dyDescent="0.3">
      <c r="A111" s="39" t="s">
        <v>35</v>
      </c>
      <c r="B111" s="43" t="s">
        <v>36</v>
      </c>
      <c r="C111" s="39" t="s">
        <v>8</v>
      </c>
    </row>
    <row r="112" spans="1:4" ht="26" x14ac:dyDescent="0.3">
      <c r="A112" s="42" t="s">
        <v>9</v>
      </c>
      <c r="B112" s="46" t="s">
        <v>79</v>
      </c>
      <c r="C112" s="58">
        <f>(C46/100)*0.95</f>
        <v>20.544034999999994</v>
      </c>
      <c r="D112" s="20"/>
    </row>
    <row r="113" spans="1:4" ht="26" x14ac:dyDescent="0.3">
      <c r="A113" s="42" t="s">
        <v>10</v>
      </c>
      <c r="B113" s="46" t="s">
        <v>80</v>
      </c>
      <c r="C113" s="58">
        <f>(C46/100)*4.17</f>
        <v>90.177500999999978</v>
      </c>
      <c r="D113" s="19"/>
    </row>
    <row r="114" spans="1:4" x14ac:dyDescent="0.3">
      <c r="A114" s="42" t="s">
        <v>11</v>
      </c>
      <c r="B114" s="47" t="s">
        <v>81</v>
      </c>
      <c r="C114" s="58">
        <f>(C46/100)*0.1</f>
        <v>2.1625299999999998</v>
      </c>
    </row>
    <row r="115" spans="1:4" ht="26" x14ac:dyDescent="0.3">
      <c r="A115" s="42" t="s">
        <v>12</v>
      </c>
      <c r="B115" s="47" t="s">
        <v>82</v>
      </c>
      <c r="C115" s="58">
        <f>(C46/100)*0.63</f>
        <v>13.623938999999998</v>
      </c>
    </row>
    <row r="116" spans="1:4" ht="26" x14ac:dyDescent="0.3">
      <c r="A116" s="42" t="s">
        <v>13</v>
      </c>
      <c r="B116" s="47" t="s">
        <v>83</v>
      </c>
      <c r="C116" s="58">
        <f>(C46/100)*0.02</f>
        <v>0.43250599999999995</v>
      </c>
    </row>
    <row r="117" spans="1:4" ht="26" x14ac:dyDescent="0.3">
      <c r="A117" s="42" t="s">
        <v>14</v>
      </c>
      <c r="B117" s="47" t="s">
        <v>96</v>
      </c>
      <c r="C117" s="58">
        <f>(C46/100)*9.68</f>
        <v>209.33290399999996</v>
      </c>
    </row>
    <row r="118" spans="1:4" x14ac:dyDescent="0.3">
      <c r="A118" s="374" t="s">
        <v>25</v>
      </c>
      <c r="B118" s="391"/>
      <c r="C118" s="56">
        <f>SUM(C112:C117)</f>
        <v>336.27341499999994</v>
      </c>
    </row>
    <row r="121" spans="1:4" x14ac:dyDescent="0.3">
      <c r="A121" s="390" t="s">
        <v>37</v>
      </c>
      <c r="B121" s="390"/>
      <c r="C121" s="390"/>
    </row>
    <row r="122" spans="1:4" x14ac:dyDescent="0.3">
      <c r="A122" s="15"/>
    </row>
    <row r="123" spans="1:4" x14ac:dyDescent="0.3">
      <c r="A123" s="39">
        <v>4</v>
      </c>
      <c r="B123" s="40" t="s">
        <v>38</v>
      </c>
      <c r="C123" s="39" t="s">
        <v>8</v>
      </c>
    </row>
    <row r="124" spans="1:4" x14ac:dyDescent="0.3">
      <c r="A124" s="14" t="s">
        <v>35</v>
      </c>
      <c r="B124" s="25" t="s">
        <v>36</v>
      </c>
      <c r="C124" s="55">
        <f>C118</f>
        <v>336.27341499999994</v>
      </c>
    </row>
    <row r="125" spans="1:4" x14ac:dyDescent="0.3">
      <c r="A125" s="374" t="s">
        <v>0</v>
      </c>
      <c r="B125" s="374"/>
      <c r="C125" s="56">
        <f>SUM(C124:C124)</f>
        <v>336.27341499999994</v>
      </c>
    </row>
    <row r="127" spans="1:4" ht="13.5" thickBot="1" x14ac:dyDescent="0.35"/>
    <row r="128" spans="1:4" ht="16" thickBot="1" x14ac:dyDescent="0.35">
      <c r="A128" s="387" t="s">
        <v>39</v>
      </c>
      <c r="B128" s="388"/>
      <c r="C128" s="389"/>
    </row>
    <row r="130" spans="1:5" x14ac:dyDescent="0.3">
      <c r="A130" s="39">
        <v>5</v>
      </c>
      <c r="B130" s="24" t="s">
        <v>1</v>
      </c>
      <c r="C130" s="39" t="s">
        <v>8</v>
      </c>
    </row>
    <row r="131" spans="1:5" x14ac:dyDescent="0.3">
      <c r="A131" s="14" t="s">
        <v>9</v>
      </c>
      <c r="B131" s="25" t="s">
        <v>40</v>
      </c>
      <c r="C131" s="29">
        <f>UNIFORMES!F10</f>
        <v>53.034166666666664</v>
      </c>
    </row>
    <row r="132" spans="1:5" x14ac:dyDescent="0.3">
      <c r="A132" s="14" t="s">
        <v>10</v>
      </c>
      <c r="B132" s="25" t="s">
        <v>41</v>
      </c>
      <c r="C132" s="29">
        <f>MATERIAIS!F29</f>
        <v>469.21999999999991</v>
      </c>
    </row>
    <row r="133" spans="1:5" x14ac:dyDescent="0.3">
      <c r="A133" s="14" t="s">
        <v>11</v>
      </c>
      <c r="B133" s="25" t="s">
        <v>125</v>
      </c>
      <c r="C133" s="29">
        <f>UTENSÍLIOS!F36</f>
        <v>85.690520833333309</v>
      </c>
    </row>
    <row r="134" spans="1:5" x14ac:dyDescent="0.3">
      <c r="A134" s="14" t="s">
        <v>12</v>
      </c>
      <c r="B134" s="25" t="s">
        <v>70</v>
      </c>
      <c r="C134" s="29">
        <f>'EQUIPAMENTOS '!F12</f>
        <v>8.552979166666665</v>
      </c>
    </row>
    <row r="135" spans="1:5" x14ac:dyDescent="0.3">
      <c r="A135" s="374" t="s">
        <v>25</v>
      </c>
      <c r="B135" s="374"/>
      <c r="C135" s="30">
        <f>SUM(C131:C134)</f>
        <v>616.49766666666653</v>
      </c>
    </row>
    <row r="137" spans="1:5" ht="13.5" thickBot="1" x14ac:dyDescent="0.35"/>
    <row r="138" spans="1:5" ht="16" thickBot="1" x14ac:dyDescent="0.35">
      <c r="A138" s="387" t="s">
        <v>42</v>
      </c>
      <c r="B138" s="388"/>
      <c r="C138" s="388"/>
      <c r="D138" s="389"/>
    </row>
    <row r="140" spans="1:5" x14ac:dyDescent="0.3">
      <c r="A140" s="39">
        <v>6</v>
      </c>
      <c r="B140" s="24" t="s">
        <v>2</v>
      </c>
      <c r="C140" s="39" t="s">
        <v>23</v>
      </c>
      <c r="D140" s="39" t="s">
        <v>8</v>
      </c>
    </row>
    <row r="141" spans="1:5" x14ac:dyDescent="0.3">
      <c r="A141" s="14" t="s">
        <v>9</v>
      </c>
      <c r="B141" s="25" t="s">
        <v>3</v>
      </c>
      <c r="C141" s="26">
        <v>0.06</v>
      </c>
      <c r="D141" s="55">
        <f>(C46+C90+C104+C125+C135)*C141</f>
        <v>325.42973573559988</v>
      </c>
    </row>
    <row r="142" spans="1:5" x14ac:dyDescent="0.3">
      <c r="A142" s="14" t="s">
        <v>10</v>
      </c>
      <c r="B142" s="25" t="s">
        <v>5</v>
      </c>
      <c r="C142" s="26">
        <v>6.7900000000000002E-2</v>
      </c>
      <c r="D142" s="55">
        <f>(C46+C90+C104+C125+C135)*C142</f>
        <v>368.27798427412057</v>
      </c>
    </row>
    <row r="143" spans="1:5" x14ac:dyDescent="0.3">
      <c r="A143" s="14" t="s">
        <v>11</v>
      </c>
      <c r="B143" s="25" t="s">
        <v>4</v>
      </c>
      <c r="C143" s="26"/>
      <c r="D143" s="55"/>
    </row>
    <row r="144" spans="1:5" x14ac:dyDescent="0.3">
      <c r="A144" s="14"/>
      <c r="B144" s="25" t="s">
        <v>48</v>
      </c>
      <c r="C144" s="41">
        <v>1.6500000000000001E-2</v>
      </c>
      <c r="D144" s="55">
        <f>(C46+C90+C104+C125+C135)*C144</f>
        <v>89.49317732728997</v>
      </c>
      <c r="E144" s="38" t="s">
        <v>74</v>
      </c>
    </row>
    <row r="145" spans="1:6" x14ac:dyDescent="0.3">
      <c r="A145" s="14"/>
      <c r="B145" s="25" t="s">
        <v>49</v>
      </c>
      <c r="C145" s="41">
        <v>7.5999999999999998E-2</v>
      </c>
      <c r="D145" s="55">
        <f>(C46+C90+C104+C125+C135)*C145</f>
        <v>412.2109985984265</v>
      </c>
      <c r="E145" s="38" t="s">
        <v>74</v>
      </c>
    </row>
    <row r="146" spans="1:6" x14ac:dyDescent="0.3">
      <c r="A146" s="14"/>
      <c r="B146" s="25" t="s">
        <v>43</v>
      </c>
      <c r="C146" s="26"/>
      <c r="D146" s="55"/>
    </row>
    <row r="147" spans="1:6" x14ac:dyDescent="0.3">
      <c r="A147" s="14"/>
      <c r="B147" s="25" t="s">
        <v>152</v>
      </c>
      <c r="C147" s="26">
        <v>0.05</v>
      </c>
      <c r="D147" s="59">
        <f>(C46+C90+C104+C125+C135)*C147</f>
        <v>271.19144644633326</v>
      </c>
    </row>
    <row r="148" spans="1:6" x14ac:dyDescent="0.3">
      <c r="A148" s="14"/>
      <c r="B148" s="25" t="s">
        <v>55</v>
      </c>
      <c r="C148" s="27">
        <f>SUM(C141:C147)</f>
        <v>0.27040000000000003</v>
      </c>
      <c r="D148" s="55">
        <f>(C46+C90+C104+C125+C135)*C148</f>
        <v>1466.6033423817703</v>
      </c>
      <c r="E148" s="18"/>
      <c r="F148" s="19"/>
    </row>
    <row r="149" spans="1:6" x14ac:dyDescent="0.3">
      <c r="A149" s="374" t="s">
        <v>25</v>
      </c>
      <c r="B149" s="374"/>
      <c r="C149" s="26"/>
      <c r="D149" s="56">
        <f>D148</f>
        <v>1466.6033423817703</v>
      </c>
    </row>
    <row r="151" spans="1:6" ht="13.5" thickBot="1" x14ac:dyDescent="0.35"/>
    <row r="152" spans="1:6" ht="16" thickBot="1" x14ac:dyDescent="0.35">
      <c r="A152" s="371" t="s">
        <v>44</v>
      </c>
      <c r="B152" s="372"/>
      <c r="C152" s="373"/>
    </row>
    <row r="154" spans="1:6" x14ac:dyDescent="0.3">
      <c r="A154" s="39"/>
      <c r="B154" s="39" t="s">
        <v>45</v>
      </c>
      <c r="C154" s="39" t="s">
        <v>8</v>
      </c>
    </row>
    <row r="155" spans="1:6" x14ac:dyDescent="0.3">
      <c r="A155" s="39" t="s">
        <v>9</v>
      </c>
      <c r="B155" s="25" t="s">
        <v>6</v>
      </c>
      <c r="C155" s="60">
        <f>C46</f>
        <v>2162.5299999999997</v>
      </c>
    </row>
    <row r="156" spans="1:6" x14ac:dyDescent="0.3">
      <c r="A156" s="39" t="s">
        <v>10</v>
      </c>
      <c r="B156" s="25" t="s">
        <v>16</v>
      </c>
      <c r="C156" s="60">
        <f>C90</f>
        <v>2149.7116440599998</v>
      </c>
    </row>
    <row r="157" spans="1:6" x14ac:dyDescent="0.3">
      <c r="A157" s="39" t="s">
        <v>11</v>
      </c>
      <c r="B157" s="25" t="s">
        <v>31</v>
      </c>
      <c r="C157" s="60">
        <f>C104</f>
        <v>158.81620319999996</v>
      </c>
    </row>
    <row r="158" spans="1:6" x14ac:dyDescent="0.3">
      <c r="A158" s="39" t="s">
        <v>12</v>
      </c>
      <c r="B158" s="28" t="s">
        <v>33</v>
      </c>
      <c r="C158" s="60">
        <f>C125</f>
        <v>336.27341499999994</v>
      </c>
    </row>
    <row r="159" spans="1:6" x14ac:dyDescent="0.3">
      <c r="A159" s="39" t="s">
        <v>13</v>
      </c>
      <c r="B159" s="25" t="s">
        <v>39</v>
      </c>
      <c r="C159" s="60">
        <f>C135</f>
        <v>616.49766666666653</v>
      </c>
    </row>
    <row r="160" spans="1:6" x14ac:dyDescent="0.3">
      <c r="A160" s="374" t="s">
        <v>46</v>
      </c>
      <c r="B160" s="374"/>
      <c r="C160" s="61">
        <f>SUM(C155:C159)</f>
        <v>5423.828928926665</v>
      </c>
    </row>
    <row r="161" spans="1:5" x14ac:dyDescent="0.3">
      <c r="A161" s="39" t="s">
        <v>14</v>
      </c>
      <c r="B161" s="25" t="s">
        <v>47</v>
      </c>
      <c r="C161" s="60">
        <f>D149</f>
        <v>1466.6033423817703</v>
      </c>
    </row>
    <row r="162" spans="1:5" x14ac:dyDescent="0.3">
      <c r="A162" s="374" t="s">
        <v>160</v>
      </c>
      <c r="B162" s="374"/>
      <c r="C162" s="62">
        <f>C160+C161</f>
        <v>6890.4322713084348</v>
      </c>
      <c r="D162" s="17"/>
    </row>
    <row r="163" spans="1:5" x14ac:dyDescent="0.3">
      <c r="A163" s="375" t="s">
        <v>56</v>
      </c>
      <c r="B163" s="376"/>
      <c r="C163" s="63">
        <f>12*C162</f>
        <v>82685.187255701225</v>
      </c>
      <c r="D163" s="17"/>
    </row>
    <row r="164" spans="1:5" x14ac:dyDescent="0.3">
      <c r="A164" s="383" t="s">
        <v>142</v>
      </c>
      <c r="B164" s="384"/>
      <c r="C164" s="62">
        <f>2*C163</f>
        <v>165370.37451140245</v>
      </c>
      <c r="D164" s="17"/>
    </row>
    <row r="165" spans="1:5" s="50" customFormat="1" ht="13.5" thickBot="1" x14ac:dyDescent="0.35">
      <c r="A165" s="380" t="s">
        <v>97</v>
      </c>
      <c r="B165" s="381"/>
      <c r="C165" s="382"/>
      <c r="D165" s="48"/>
      <c r="E165" s="49"/>
    </row>
    <row r="166" spans="1:5" s="50" customFormat="1" ht="91.4" customHeight="1" thickBot="1" x14ac:dyDescent="0.35">
      <c r="A166" s="377" t="s">
        <v>86</v>
      </c>
      <c r="B166" s="378"/>
      <c r="C166" s="379"/>
    </row>
  </sheetData>
  <mergeCells count="42">
    <mergeCell ref="A46:B46"/>
    <mergeCell ref="A1:C1"/>
    <mergeCell ref="A2:C2"/>
    <mergeCell ref="A4:C4"/>
    <mergeCell ref="A5:C5"/>
    <mergeCell ref="A6:C6"/>
    <mergeCell ref="A10:C10"/>
    <mergeCell ref="A18:A21"/>
    <mergeCell ref="A22:B22"/>
    <mergeCell ref="A25:C25"/>
    <mergeCell ref="A30:C30"/>
    <mergeCell ref="A39:C39"/>
    <mergeCell ref="A99:B99"/>
    <mergeCell ref="A49:C49"/>
    <mergeCell ref="A51:C51"/>
    <mergeCell ref="A56:B56"/>
    <mergeCell ref="A59:D59"/>
    <mergeCell ref="A69:B69"/>
    <mergeCell ref="A71:B71"/>
    <mergeCell ref="A74:C74"/>
    <mergeCell ref="A81:B81"/>
    <mergeCell ref="A84:C84"/>
    <mergeCell ref="A90:B90"/>
    <mergeCell ref="A93:C93"/>
    <mergeCell ref="A152:C152"/>
    <mergeCell ref="A103:B103"/>
    <mergeCell ref="A104:B104"/>
    <mergeCell ref="A107:C107"/>
    <mergeCell ref="A109:C109"/>
    <mergeCell ref="A118:B118"/>
    <mergeCell ref="A121:C121"/>
    <mergeCell ref="A125:B125"/>
    <mergeCell ref="A128:C128"/>
    <mergeCell ref="A135:B135"/>
    <mergeCell ref="A138:D138"/>
    <mergeCell ref="A149:B149"/>
    <mergeCell ref="A166:C166"/>
    <mergeCell ref="A160:B160"/>
    <mergeCell ref="A162:B162"/>
    <mergeCell ref="A163:B163"/>
    <mergeCell ref="A164:B164"/>
    <mergeCell ref="A165:C165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163"/>
  <sheetViews>
    <sheetView showGridLines="0" topLeftCell="A36" zoomScaleNormal="100" workbookViewId="0">
      <selection activeCell="G72" sqref="G72"/>
    </sheetView>
  </sheetViews>
  <sheetFormatPr defaultColWidth="9.1796875" defaultRowHeight="13" x14ac:dyDescent="0.3"/>
  <cols>
    <col min="1" max="1" width="17.26953125" style="5" bestFit="1" customWidth="1"/>
    <col min="2" max="2" width="72.1796875" style="5" customWidth="1"/>
    <col min="3" max="3" width="26.453125" style="5" bestFit="1" customWidth="1"/>
    <col min="4" max="4" width="15.26953125" style="5" bestFit="1" customWidth="1"/>
    <col min="5" max="5" width="14.7265625" style="5" customWidth="1"/>
    <col min="6" max="6" width="12" style="5" customWidth="1"/>
    <col min="7" max="7" width="15.1796875" style="5" customWidth="1"/>
    <col min="8" max="16384" width="9.1796875" style="5"/>
  </cols>
  <sheetData>
    <row r="1" spans="1:3" x14ac:dyDescent="0.3">
      <c r="A1" s="366" t="s">
        <v>59</v>
      </c>
      <c r="B1" s="366"/>
      <c r="C1" s="366"/>
    </row>
    <row r="2" spans="1:3" x14ac:dyDescent="0.3">
      <c r="A2" s="367" t="s">
        <v>146</v>
      </c>
      <c r="B2" s="367"/>
      <c r="C2" s="367"/>
    </row>
    <row r="3" spans="1:3" x14ac:dyDescent="0.3">
      <c r="A3" s="37"/>
      <c r="B3" s="37"/>
      <c r="C3" s="37"/>
    </row>
    <row r="4" spans="1:3" x14ac:dyDescent="0.3">
      <c r="A4" s="368" t="s">
        <v>420</v>
      </c>
      <c r="B4" s="368"/>
      <c r="C4" s="368"/>
    </row>
    <row r="5" spans="1:3" x14ac:dyDescent="0.3">
      <c r="A5" s="369" t="s">
        <v>147</v>
      </c>
      <c r="B5" s="369"/>
      <c r="C5" s="369"/>
    </row>
    <row r="6" spans="1:3" x14ac:dyDescent="0.3">
      <c r="A6" s="370" t="s">
        <v>148</v>
      </c>
      <c r="B6" s="370"/>
      <c r="C6" s="370"/>
    </row>
    <row r="10" spans="1:3" x14ac:dyDescent="0.3">
      <c r="A10" s="362" t="s">
        <v>60</v>
      </c>
      <c r="B10" s="362"/>
      <c r="C10" s="362"/>
    </row>
    <row r="11" spans="1:3" x14ac:dyDescent="0.3">
      <c r="A11" s="14" t="s">
        <v>9</v>
      </c>
      <c r="B11" s="13" t="s">
        <v>61</v>
      </c>
      <c r="C11" s="6" t="s">
        <v>149</v>
      </c>
    </row>
    <row r="12" spans="1:3" x14ac:dyDescent="0.3">
      <c r="A12" s="14" t="s">
        <v>10</v>
      </c>
      <c r="B12" s="13" t="s">
        <v>62</v>
      </c>
      <c r="C12" s="7" t="s">
        <v>381</v>
      </c>
    </row>
    <row r="13" spans="1:3" ht="15.65" customHeight="1" x14ac:dyDescent="0.3">
      <c r="A13" s="14" t="s">
        <v>11</v>
      </c>
      <c r="B13" s="13" t="s">
        <v>63</v>
      </c>
      <c r="C13" s="21" t="s">
        <v>151</v>
      </c>
    </row>
    <row r="14" spans="1:3" x14ac:dyDescent="0.3">
      <c r="A14" s="14" t="s">
        <v>12</v>
      </c>
      <c r="B14" s="13" t="s">
        <v>64</v>
      </c>
      <c r="C14" s="8">
        <v>12</v>
      </c>
    </row>
    <row r="17" spans="1:4" x14ac:dyDescent="0.3">
      <c r="A17" s="68" t="s">
        <v>110</v>
      </c>
      <c r="B17" s="68" t="s">
        <v>111</v>
      </c>
      <c r="C17" s="68" t="s">
        <v>112</v>
      </c>
    </row>
    <row r="18" spans="1:4" x14ac:dyDescent="0.3">
      <c r="A18" s="363" t="s">
        <v>113</v>
      </c>
      <c r="B18" s="69" t="s">
        <v>114</v>
      </c>
      <c r="C18" s="70">
        <v>609.4</v>
      </c>
    </row>
    <row r="19" spans="1:4" x14ac:dyDescent="0.3">
      <c r="A19" s="363"/>
      <c r="B19" s="71" t="s">
        <v>117</v>
      </c>
      <c r="C19" s="73">
        <v>20</v>
      </c>
    </row>
    <row r="20" spans="1:4" x14ac:dyDescent="0.3">
      <c r="A20" s="364"/>
      <c r="B20" s="364"/>
      <c r="C20" s="74">
        <f>SUM(C18:C19)</f>
        <v>629.4</v>
      </c>
    </row>
    <row r="23" spans="1:4" x14ac:dyDescent="0.3">
      <c r="A23" s="365" t="s">
        <v>118</v>
      </c>
      <c r="B23" s="365"/>
      <c r="C23" s="365"/>
    </row>
    <row r="24" spans="1:4" ht="24" x14ac:dyDescent="0.3">
      <c r="A24" s="75" t="s">
        <v>110</v>
      </c>
      <c r="B24" s="75" t="s">
        <v>119</v>
      </c>
      <c r="C24" s="76" t="s">
        <v>120</v>
      </c>
    </row>
    <row r="25" spans="1:4" x14ac:dyDescent="0.3">
      <c r="A25" s="77" t="s">
        <v>121</v>
      </c>
      <c r="B25" s="78" t="s">
        <v>122</v>
      </c>
      <c r="C25" s="79">
        <f>C20</f>
        <v>629.4</v>
      </c>
    </row>
    <row r="27" spans="1:4" ht="15" customHeight="1" x14ac:dyDescent="0.3"/>
    <row r="28" spans="1:4" ht="15" customHeight="1" x14ac:dyDescent="0.3">
      <c r="A28" s="362" t="s">
        <v>65</v>
      </c>
      <c r="B28" s="362"/>
      <c r="C28" s="362"/>
    </row>
    <row r="29" spans="1:4" ht="15" customHeight="1" x14ac:dyDescent="0.3">
      <c r="A29" s="14">
        <v>1</v>
      </c>
      <c r="B29" s="10" t="s">
        <v>66</v>
      </c>
      <c r="C29" s="44" t="s">
        <v>123</v>
      </c>
    </row>
    <row r="30" spans="1:4" ht="15" customHeight="1" x14ac:dyDescent="0.3">
      <c r="A30" s="14">
        <v>2</v>
      </c>
      <c r="B30" s="10" t="s">
        <v>67</v>
      </c>
      <c r="C30" s="22" t="s">
        <v>124</v>
      </c>
    </row>
    <row r="31" spans="1:4" ht="15" customHeight="1" x14ac:dyDescent="0.3">
      <c r="A31" s="14">
        <v>3</v>
      </c>
      <c r="B31" s="11" t="s">
        <v>153</v>
      </c>
      <c r="C31" s="23">
        <v>1403.85</v>
      </c>
      <c r="D31" s="51"/>
    </row>
    <row r="32" spans="1:4" ht="15" customHeight="1" x14ac:dyDescent="0.3">
      <c r="A32" s="14">
        <v>4</v>
      </c>
      <c r="B32" s="10" t="s">
        <v>68</v>
      </c>
      <c r="C32" s="9" t="s">
        <v>154</v>
      </c>
    </row>
    <row r="33" spans="1:3" ht="15" customHeight="1" x14ac:dyDescent="0.3">
      <c r="A33" s="14">
        <v>5</v>
      </c>
      <c r="B33" s="10" t="s">
        <v>69</v>
      </c>
      <c r="C33" s="12">
        <v>44927</v>
      </c>
    </row>
    <row r="36" spans="1:3" ht="13.5" thickBot="1" x14ac:dyDescent="0.35"/>
    <row r="37" spans="1:3" ht="16" thickBot="1" x14ac:dyDescent="0.35">
      <c r="A37" s="387" t="s">
        <v>6</v>
      </c>
      <c r="B37" s="388"/>
      <c r="C37" s="389"/>
    </row>
    <row r="39" spans="1:3" x14ac:dyDescent="0.3">
      <c r="A39" s="39">
        <v>1</v>
      </c>
      <c r="B39" s="39" t="s">
        <v>7</v>
      </c>
      <c r="C39" s="39" t="s">
        <v>8</v>
      </c>
    </row>
    <row r="40" spans="1:3" x14ac:dyDescent="0.3">
      <c r="A40" s="14" t="s">
        <v>9</v>
      </c>
      <c r="B40" s="25" t="s">
        <v>156</v>
      </c>
      <c r="C40" s="52">
        <f>C31</f>
        <v>1403.85</v>
      </c>
    </row>
    <row r="41" spans="1:3" ht="26" x14ac:dyDescent="0.3">
      <c r="A41" s="14" t="s">
        <v>10</v>
      </c>
      <c r="B41" s="25" t="s">
        <v>437</v>
      </c>
      <c r="C41" s="112">
        <f>(1412/100)*30</f>
        <v>423.59999999999997</v>
      </c>
    </row>
    <row r="42" spans="1:3" x14ac:dyDescent="0.3">
      <c r="A42" s="14" t="s">
        <v>11</v>
      </c>
      <c r="B42" s="25" t="s">
        <v>157</v>
      </c>
      <c r="C42" s="52">
        <v>54.31</v>
      </c>
    </row>
    <row r="43" spans="1:3" x14ac:dyDescent="0.3">
      <c r="A43" s="392" t="s">
        <v>0</v>
      </c>
      <c r="B43" s="393"/>
      <c r="C43" s="54">
        <f>SUM(C40:C42)</f>
        <v>1881.7599999999998</v>
      </c>
    </row>
    <row r="46" spans="1:3" x14ac:dyDescent="0.3">
      <c r="A46" s="394" t="s">
        <v>16</v>
      </c>
      <c r="B46" s="394"/>
      <c r="C46" s="394"/>
    </row>
    <row r="47" spans="1:3" x14ac:dyDescent="0.3">
      <c r="A47" s="15"/>
    </row>
    <row r="48" spans="1:3" x14ac:dyDescent="0.3">
      <c r="A48" s="390" t="s">
        <v>17</v>
      </c>
      <c r="B48" s="390"/>
      <c r="C48" s="390"/>
    </row>
    <row r="50" spans="1:5" x14ac:dyDescent="0.3">
      <c r="A50" s="39" t="s">
        <v>18</v>
      </c>
      <c r="B50" s="39" t="s">
        <v>19</v>
      </c>
      <c r="C50" s="39" t="s">
        <v>8</v>
      </c>
    </row>
    <row r="51" spans="1:5" x14ac:dyDescent="0.3">
      <c r="A51" s="14" t="s">
        <v>9</v>
      </c>
      <c r="B51" s="25" t="s">
        <v>84</v>
      </c>
      <c r="C51" s="52">
        <f>C43/12</f>
        <v>156.8133333333333</v>
      </c>
    </row>
    <row r="52" spans="1:5" x14ac:dyDescent="0.3">
      <c r="A52" s="14" t="s">
        <v>10</v>
      </c>
      <c r="B52" s="25" t="s">
        <v>85</v>
      </c>
      <c r="C52" s="52">
        <f>(C43/100)*12.1</f>
        <v>227.69295999999997</v>
      </c>
    </row>
    <row r="53" spans="1:5" x14ac:dyDescent="0.3">
      <c r="A53" s="374" t="s">
        <v>0</v>
      </c>
      <c r="B53" s="374"/>
      <c r="C53" s="54">
        <f>SUM(C51:C52)</f>
        <v>384.50629333333325</v>
      </c>
    </row>
    <row r="56" spans="1:5" ht="32.25" customHeight="1" x14ac:dyDescent="0.3">
      <c r="A56" s="396" t="s">
        <v>20</v>
      </c>
      <c r="B56" s="396"/>
      <c r="C56" s="396"/>
      <c r="D56" s="396"/>
    </row>
    <row r="58" spans="1:5" x14ac:dyDescent="0.3">
      <c r="A58" s="39" t="s">
        <v>21</v>
      </c>
      <c r="B58" s="39" t="s">
        <v>22</v>
      </c>
      <c r="C58" s="39" t="s">
        <v>23</v>
      </c>
      <c r="D58" s="39" t="s">
        <v>8</v>
      </c>
    </row>
    <row r="59" spans="1:5" x14ac:dyDescent="0.3">
      <c r="A59" s="14" t="s">
        <v>9</v>
      </c>
      <c r="B59" s="25" t="s">
        <v>88</v>
      </c>
      <c r="C59" s="33">
        <v>0.2</v>
      </c>
      <c r="D59" s="52">
        <f>(C43+C53)*C59</f>
        <v>453.25325866666662</v>
      </c>
    </row>
    <row r="60" spans="1:5" x14ac:dyDescent="0.3">
      <c r="A60" s="14" t="s">
        <v>10</v>
      </c>
      <c r="B60" s="25" t="s">
        <v>94</v>
      </c>
      <c r="C60" s="33">
        <v>2.5000000000000001E-2</v>
      </c>
      <c r="D60" s="52">
        <f>(C43+C53)*C60</f>
        <v>56.656657333333328</v>
      </c>
    </row>
    <row r="61" spans="1:5" x14ac:dyDescent="0.3">
      <c r="A61" s="14" t="s">
        <v>11</v>
      </c>
      <c r="B61" s="25" t="s">
        <v>93</v>
      </c>
      <c r="C61" s="34">
        <v>0.03</v>
      </c>
      <c r="D61" s="52">
        <f>(C43+C53)*C61</f>
        <v>67.987988799999997</v>
      </c>
      <c r="E61" s="38" t="s">
        <v>73</v>
      </c>
    </row>
    <row r="62" spans="1:5" x14ac:dyDescent="0.3">
      <c r="A62" s="14" t="s">
        <v>12</v>
      </c>
      <c r="B62" s="25" t="s">
        <v>89</v>
      </c>
      <c r="C62" s="33">
        <v>1.4999999999999999E-2</v>
      </c>
      <c r="D62" s="52">
        <f>(C43+C53)*C62</f>
        <v>33.993994399999998</v>
      </c>
    </row>
    <row r="63" spans="1:5" x14ac:dyDescent="0.3">
      <c r="A63" s="14" t="s">
        <v>13</v>
      </c>
      <c r="B63" s="25" t="s">
        <v>90</v>
      </c>
      <c r="C63" s="33">
        <v>0.01</v>
      </c>
      <c r="D63" s="52">
        <f>(C43+C53)*C63</f>
        <v>22.662662933333333</v>
      </c>
    </row>
    <row r="64" spans="1:5" x14ac:dyDescent="0.3">
      <c r="A64" s="14" t="s">
        <v>14</v>
      </c>
      <c r="B64" s="25" t="s">
        <v>91</v>
      </c>
      <c r="C64" s="33">
        <v>6.0000000000000001E-3</v>
      </c>
      <c r="D64" s="52">
        <f>(C43+C43)*C64</f>
        <v>22.581119999999999</v>
      </c>
    </row>
    <row r="65" spans="1:5" x14ac:dyDescent="0.3">
      <c r="A65" s="14" t="s">
        <v>15</v>
      </c>
      <c r="B65" s="25" t="s">
        <v>92</v>
      </c>
      <c r="C65" s="33">
        <v>2E-3</v>
      </c>
      <c r="D65" s="52">
        <f>(C43+C53)*C65</f>
        <v>4.5325325866666661</v>
      </c>
    </row>
    <row r="66" spans="1:5" x14ac:dyDescent="0.3">
      <c r="A66" s="397" t="s">
        <v>50</v>
      </c>
      <c r="B66" s="397"/>
      <c r="C66" s="35">
        <f>SUM(C59:C65)</f>
        <v>0.28800000000000003</v>
      </c>
      <c r="D66" s="53">
        <f>SUM(D59:D65)</f>
        <v>661.66821472000004</v>
      </c>
    </row>
    <row r="67" spans="1:5" x14ac:dyDescent="0.3">
      <c r="A67" s="14" t="s">
        <v>24</v>
      </c>
      <c r="B67" s="25" t="s">
        <v>95</v>
      </c>
      <c r="C67" s="33">
        <v>0.08</v>
      </c>
      <c r="D67" s="52">
        <f>(C43+C53)*C67</f>
        <v>181.30130346666667</v>
      </c>
    </row>
    <row r="68" spans="1:5" x14ac:dyDescent="0.3">
      <c r="A68" s="374" t="s">
        <v>25</v>
      </c>
      <c r="B68" s="374"/>
      <c r="C68" s="36">
        <f>SUM(C66:C67)</f>
        <v>0.36800000000000005</v>
      </c>
      <c r="D68" s="54">
        <f>SUM(D66:D67)</f>
        <v>842.96951818666673</v>
      </c>
    </row>
    <row r="71" spans="1:5" x14ac:dyDescent="0.3">
      <c r="A71" s="390" t="s">
        <v>26</v>
      </c>
      <c r="B71" s="390"/>
      <c r="C71" s="390"/>
    </row>
    <row r="73" spans="1:5" x14ac:dyDescent="0.3">
      <c r="A73" s="39" t="s">
        <v>27</v>
      </c>
      <c r="B73" s="39" t="s">
        <v>28</v>
      </c>
      <c r="C73" s="39" t="s">
        <v>8</v>
      </c>
    </row>
    <row r="74" spans="1:5" x14ac:dyDescent="0.3">
      <c r="A74" s="14" t="s">
        <v>9</v>
      </c>
      <c r="B74" s="25" t="s">
        <v>400</v>
      </c>
      <c r="C74" s="64">
        <f>(4.95*2*22)-(C40/100)*6</f>
        <v>133.56900000000002</v>
      </c>
      <c r="D74" s="20"/>
      <c r="E74" s="20"/>
    </row>
    <row r="75" spans="1:5" x14ac:dyDescent="0.3">
      <c r="A75" s="14" t="s">
        <v>10</v>
      </c>
      <c r="B75" s="25" t="s">
        <v>159</v>
      </c>
      <c r="C75" s="52">
        <f>(19.9*22)-(437.8/100)*5</f>
        <v>415.90999999999997</v>
      </c>
      <c r="D75" s="17"/>
    </row>
    <row r="76" spans="1:5" x14ac:dyDescent="0.3">
      <c r="A76" s="14" t="s">
        <v>11</v>
      </c>
      <c r="B76" s="1" t="s">
        <v>158</v>
      </c>
      <c r="C76" s="83">
        <v>49</v>
      </c>
    </row>
    <row r="77" spans="1:5" x14ac:dyDescent="0.3">
      <c r="A77" s="14" t="s">
        <v>12</v>
      </c>
      <c r="B77" s="25" t="s">
        <v>155</v>
      </c>
      <c r="C77" s="52">
        <v>140.61000000000001</v>
      </c>
    </row>
    <row r="78" spans="1:5" x14ac:dyDescent="0.3">
      <c r="A78" s="374" t="s">
        <v>0</v>
      </c>
      <c r="B78" s="374"/>
      <c r="C78" s="54">
        <f>SUM(C74:C77)</f>
        <v>739.08900000000006</v>
      </c>
    </row>
    <row r="81" spans="1:3" x14ac:dyDescent="0.3">
      <c r="A81" s="390" t="s">
        <v>29</v>
      </c>
      <c r="B81" s="390"/>
      <c r="C81" s="390"/>
    </row>
    <row r="83" spans="1:3" x14ac:dyDescent="0.3">
      <c r="A83" s="39">
        <v>2</v>
      </c>
      <c r="B83" s="39" t="s">
        <v>30</v>
      </c>
      <c r="C83" s="39" t="s">
        <v>8</v>
      </c>
    </row>
    <row r="84" spans="1:3" x14ac:dyDescent="0.3">
      <c r="A84" s="14" t="s">
        <v>18</v>
      </c>
      <c r="B84" s="25" t="s">
        <v>19</v>
      </c>
      <c r="C84" s="55">
        <f>C53</f>
        <v>384.50629333333325</v>
      </c>
    </row>
    <row r="85" spans="1:3" x14ac:dyDescent="0.3">
      <c r="A85" s="14" t="s">
        <v>21</v>
      </c>
      <c r="B85" s="25" t="s">
        <v>22</v>
      </c>
      <c r="C85" s="55">
        <f>D68</f>
        <v>842.96951818666673</v>
      </c>
    </row>
    <row r="86" spans="1:3" x14ac:dyDescent="0.3">
      <c r="A86" s="14" t="s">
        <v>27</v>
      </c>
      <c r="B86" s="25" t="s">
        <v>28</v>
      </c>
      <c r="C86" s="55">
        <f>C78</f>
        <v>739.08900000000006</v>
      </c>
    </row>
    <row r="87" spans="1:3" x14ac:dyDescent="0.3">
      <c r="A87" s="374" t="s">
        <v>0</v>
      </c>
      <c r="B87" s="374"/>
      <c r="C87" s="56">
        <f>SUM(C84:C86)</f>
        <v>1966.5648115200001</v>
      </c>
    </row>
    <row r="88" spans="1:3" x14ac:dyDescent="0.3">
      <c r="A88" s="16"/>
    </row>
    <row r="89" spans="1:3" ht="13.5" thickBot="1" x14ac:dyDescent="0.35"/>
    <row r="90" spans="1:3" ht="13.5" thickBot="1" x14ac:dyDescent="0.35">
      <c r="A90" s="398" t="s">
        <v>31</v>
      </c>
      <c r="B90" s="399"/>
      <c r="C90" s="400"/>
    </row>
    <row r="92" spans="1:3" x14ac:dyDescent="0.3">
      <c r="A92" s="39">
        <v>3</v>
      </c>
      <c r="B92" s="39" t="s">
        <v>32</v>
      </c>
      <c r="C92" s="39" t="s">
        <v>8</v>
      </c>
    </row>
    <row r="93" spans="1:3" x14ac:dyDescent="0.3">
      <c r="A93" s="14" t="s">
        <v>9</v>
      </c>
      <c r="B93" s="31" t="s">
        <v>71</v>
      </c>
      <c r="C93" s="52">
        <f>(C43/100)*1.81</f>
        <v>34.059855999999996</v>
      </c>
    </row>
    <row r="94" spans="1:3" x14ac:dyDescent="0.3">
      <c r="A94" s="14" t="s">
        <v>10</v>
      </c>
      <c r="B94" s="31" t="s">
        <v>72</v>
      </c>
      <c r="C94" s="52">
        <f>(C43/100)*0.14</f>
        <v>2.6344639999999999</v>
      </c>
    </row>
    <row r="95" spans="1:3" ht="26" x14ac:dyDescent="0.3">
      <c r="A95" s="14" t="s">
        <v>11</v>
      </c>
      <c r="B95" s="31" t="s">
        <v>75</v>
      </c>
      <c r="C95" s="52">
        <f>(C43/100)*4.05</f>
        <v>76.211279999999988</v>
      </c>
    </row>
    <row r="96" spans="1:3" x14ac:dyDescent="0.3">
      <c r="A96" s="401" t="s">
        <v>51</v>
      </c>
      <c r="B96" s="402"/>
      <c r="C96" s="54">
        <f>SUM(C93:C95)</f>
        <v>112.90559999999999</v>
      </c>
    </row>
    <row r="97" spans="1:4" ht="32.15" customHeight="1" x14ac:dyDescent="0.3">
      <c r="A97" s="14" t="s">
        <v>12</v>
      </c>
      <c r="B97" s="32" t="s">
        <v>76</v>
      </c>
      <c r="C97" s="57">
        <f>(C43/100)*0.194</f>
        <v>3.6506143999999998</v>
      </c>
    </row>
    <row r="98" spans="1:4" ht="26" x14ac:dyDescent="0.3">
      <c r="A98" s="14" t="s">
        <v>13</v>
      </c>
      <c r="B98" s="67" t="s">
        <v>77</v>
      </c>
      <c r="C98" s="57">
        <f>(C43/100)*0.7</f>
        <v>13.172319999999999</v>
      </c>
      <c r="D98" s="45"/>
    </row>
    <row r="99" spans="1:4" ht="26" x14ac:dyDescent="0.3">
      <c r="A99" s="42" t="s">
        <v>14</v>
      </c>
      <c r="B99" s="46" t="s">
        <v>78</v>
      </c>
      <c r="C99" s="66">
        <f>(C43/100)*0.45</f>
        <v>8.4679199999999994</v>
      </c>
    </row>
    <row r="100" spans="1:4" x14ac:dyDescent="0.3">
      <c r="A100" s="401" t="s">
        <v>52</v>
      </c>
      <c r="B100" s="403"/>
      <c r="C100" s="54">
        <f>SUM(C97:C99)</f>
        <v>25.290854399999997</v>
      </c>
    </row>
    <row r="101" spans="1:4" x14ac:dyDescent="0.3">
      <c r="A101" s="395" t="s">
        <v>53</v>
      </c>
      <c r="B101" s="395"/>
      <c r="C101" s="65">
        <f>C96+C100</f>
        <v>138.19645439999999</v>
      </c>
    </row>
    <row r="103" spans="1:4" ht="13.5" thickBot="1" x14ac:dyDescent="0.35"/>
    <row r="104" spans="1:4" ht="16" thickBot="1" x14ac:dyDescent="0.35">
      <c r="A104" s="387" t="s">
        <v>33</v>
      </c>
      <c r="B104" s="388"/>
      <c r="C104" s="389"/>
    </row>
    <row r="106" spans="1:4" x14ac:dyDescent="0.3">
      <c r="A106" s="390" t="s">
        <v>34</v>
      </c>
      <c r="B106" s="390"/>
      <c r="C106" s="390"/>
    </row>
    <row r="107" spans="1:4" x14ac:dyDescent="0.3">
      <c r="A107" s="15"/>
    </row>
    <row r="108" spans="1:4" x14ac:dyDescent="0.3">
      <c r="A108" s="39" t="s">
        <v>35</v>
      </c>
      <c r="B108" s="43" t="s">
        <v>36</v>
      </c>
      <c r="C108" s="39" t="s">
        <v>8</v>
      </c>
    </row>
    <row r="109" spans="1:4" ht="26" x14ac:dyDescent="0.3">
      <c r="A109" s="42" t="s">
        <v>9</v>
      </c>
      <c r="B109" s="46" t="s">
        <v>79</v>
      </c>
      <c r="C109" s="58">
        <f>(C43/100)*0.95</f>
        <v>17.876719999999999</v>
      </c>
      <c r="D109" s="20"/>
    </row>
    <row r="110" spans="1:4" ht="26" x14ac:dyDescent="0.3">
      <c r="A110" s="42" t="s">
        <v>10</v>
      </c>
      <c r="B110" s="46" t="s">
        <v>80</v>
      </c>
      <c r="C110" s="58">
        <f>(C43/100)*4.17</f>
        <v>78.469391999999999</v>
      </c>
      <c r="D110" s="19"/>
    </row>
    <row r="111" spans="1:4" x14ac:dyDescent="0.3">
      <c r="A111" s="42" t="s">
        <v>11</v>
      </c>
      <c r="B111" s="47" t="s">
        <v>81</v>
      </c>
      <c r="C111" s="58">
        <f>(C43/100)*0.1</f>
        <v>1.8817599999999999</v>
      </c>
    </row>
    <row r="112" spans="1:4" ht="26" x14ac:dyDescent="0.3">
      <c r="A112" s="42" t="s">
        <v>12</v>
      </c>
      <c r="B112" s="47" t="s">
        <v>82</v>
      </c>
      <c r="C112" s="58">
        <f>(C43/100)*0.63</f>
        <v>11.855087999999999</v>
      </c>
    </row>
    <row r="113" spans="1:3" ht="26" x14ac:dyDescent="0.3">
      <c r="A113" s="42" t="s">
        <v>13</v>
      </c>
      <c r="B113" s="47" t="s">
        <v>83</v>
      </c>
      <c r="C113" s="58">
        <f>(C43/100)*0.02</f>
        <v>0.37635199999999996</v>
      </c>
    </row>
    <row r="114" spans="1:3" ht="26" x14ac:dyDescent="0.3">
      <c r="A114" s="42" t="s">
        <v>14</v>
      </c>
      <c r="B114" s="47" t="s">
        <v>96</v>
      </c>
      <c r="C114" s="58">
        <f>(C43/100)*9.68</f>
        <v>182.15436799999998</v>
      </c>
    </row>
    <row r="115" spans="1:3" x14ac:dyDescent="0.3">
      <c r="A115" s="374" t="s">
        <v>25</v>
      </c>
      <c r="B115" s="391"/>
      <c r="C115" s="56">
        <f>SUM(C109:C114)</f>
        <v>292.61367999999999</v>
      </c>
    </row>
    <row r="118" spans="1:3" x14ac:dyDescent="0.3">
      <c r="A118" s="390" t="s">
        <v>37</v>
      </c>
      <c r="B118" s="390"/>
      <c r="C118" s="390"/>
    </row>
    <row r="119" spans="1:3" x14ac:dyDescent="0.3">
      <c r="A119" s="15"/>
    </row>
    <row r="120" spans="1:3" x14ac:dyDescent="0.3">
      <c r="A120" s="39">
        <v>4</v>
      </c>
      <c r="B120" s="40" t="s">
        <v>38</v>
      </c>
      <c r="C120" s="39" t="s">
        <v>8</v>
      </c>
    </row>
    <row r="121" spans="1:3" x14ac:dyDescent="0.3">
      <c r="A121" s="14" t="s">
        <v>35</v>
      </c>
      <c r="B121" s="25" t="s">
        <v>36</v>
      </c>
      <c r="C121" s="55">
        <f>C115</f>
        <v>292.61367999999999</v>
      </c>
    </row>
    <row r="122" spans="1:3" x14ac:dyDescent="0.3">
      <c r="A122" s="374" t="s">
        <v>0</v>
      </c>
      <c r="B122" s="374"/>
      <c r="C122" s="56">
        <f>SUM(C121:C121)</f>
        <v>292.61367999999999</v>
      </c>
    </row>
    <row r="124" spans="1:3" ht="13.5" thickBot="1" x14ac:dyDescent="0.35"/>
    <row r="125" spans="1:3" ht="16" thickBot="1" x14ac:dyDescent="0.35">
      <c r="A125" s="387" t="s">
        <v>39</v>
      </c>
      <c r="B125" s="388"/>
      <c r="C125" s="389"/>
    </row>
    <row r="127" spans="1:3" x14ac:dyDescent="0.3">
      <c r="A127" s="39">
        <v>5</v>
      </c>
      <c r="B127" s="24" t="s">
        <v>1</v>
      </c>
      <c r="C127" s="39" t="s">
        <v>8</v>
      </c>
    </row>
    <row r="128" spans="1:3" x14ac:dyDescent="0.3">
      <c r="A128" s="14" t="s">
        <v>9</v>
      </c>
      <c r="B128" s="25" t="s">
        <v>40</v>
      </c>
      <c r="C128" s="29">
        <f>UNIFORMES!F10</f>
        <v>53.034166666666664</v>
      </c>
    </row>
    <row r="129" spans="1:5" x14ac:dyDescent="0.3">
      <c r="A129" s="14" t="s">
        <v>10</v>
      </c>
      <c r="B129" s="25" t="s">
        <v>41</v>
      </c>
      <c r="C129" s="29">
        <f>MATERIAIS!F83</f>
        <v>492.08999999999992</v>
      </c>
    </row>
    <row r="130" spans="1:5" x14ac:dyDescent="0.3">
      <c r="A130" s="14" t="s">
        <v>11</v>
      </c>
      <c r="B130" s="25" t="s">
        <v>125</v>
      </c>
      <c r="C130" s="29">
        <f>UTENSÍLIOS!F89</f>
        <v>39.731250000000003</v>
      </c>
    </row>
    <row r="131" spans="1:5" x14ac:dyDescent="0.3">
      <c r="A131" s="319" t="s">
        <v>12</v>
      </c>
      <c r="B131" s="320" t="s">
        <v>70</v>
      </c>
      <c r="C131" s="321">
        <f>'EQUIPAMENTOS '!F21</f>
        <v>6.7530000000000001</v>
      </c>
    </row>
    <row r="132" spans="1:5" x14ac:dyDescent="0.3">
      <c r="A132" s="374" t="s">
        <v>25</v>
      </c>
      <c r="B132" s="374"/>
      <c r="C132" s="30">
        <f>SUM(C128:C131)</f>
        <v>591.6084166666667</v>
      </c>
    </row>
    <row r="134" spans="1:5" ht="13.5" thickBot="1" x14ac:dyDescent="0.35"/>
    <row r="135" spans="1:5" ht="16" thickBot="1" x14ac:dyDescent="0.35">
      <c r="A135" s="387" t="s">
        <v>42</v>
      </c>
      <c r="B135" s="388"/>
      <c r="C135" s="388"/>
      <c r="D135" s="389"/>
    </row>
    <row r="137" spans="1:5" x14ac:dyDescent="0.3">
      <c r="A137" s="39">
        <v>6</v>
      </c>
      <c r="B137" s="24" t="s">
        <v>2</v>
      </c>
      <c r="C137" s="39" t="s">
        <v>23</v>
      </c>
      <c r="D137" s="39" t="s">
        <v>8</v>
      </c>
    </row>
    <row r="138" spans="1:5" x14ac:dyDescent="0.3">
      <c r="A138" s="14" t="s">
        <v>9</v>
      </c>
      <c r="B138" s="25" t="s">
        <v>3</v>
      </c>
      <c r="C138" s="26">
        <v>0.06</v>
      </c>
      <c r="D138" s="55">
        <f>(C43+C87+C101+C122+C132)*C138</f>
        <v>292.24460175519999</v>
      </c>
    </row>
    <row r="139" spans="1:5" x14ac:dyDescent="0.3">
      <c r="A139" s="14" t="s">
        <v>10</v>
      </c>
      <c r="B139" s="25" t="s">
        <v>5</v>
      </c>
      <c r="C139" s="26">
        <v>6.7900000000000002E-2</v>
      </c>
      <c r="D139" s="55">
        <f>(C43+C87+C101+C122+C132)*C139</f>
        <v>330.7234743196347</v>
      </c>
    </row>
    <row r="140" spans="1:5" x14ac:dyDescent="0.3">
      <c r="A140" s="14" t="s">
        <v>11</v>
      </c>
      <c r="B140" s="25" t="s">
        <v>4</v>
      </c>
      <c r="C140" s="26"/>
      <c r="D140" s="55"/>
    </row>
    <row r="141" spans="1:5" x14ac:dyDescent="0.3">
      <c r="A141" s="14"/>
      <c r="B141" s="25" t="s">
        <v>48</v>
      </c>
      <c r="C141" s="41">
        <v>1.6500000000000001E-2</v>
      </c>
      <c r="D141" s="55">
        <f>(C43+C87+C101+C122+C132)*C141</f>
        <v>80.367265482680011</v>
      </c>
      <c r="E141" s="38" t="s">
        <v>74</v>
      </c>
    </row>
    <row r="142" spans="1:5" x14ac:dyDescent="0.3">
      <c r="A142" s="14"/>
      <c r="B142" s="25" t="s">
        <v>49</v>
      </c>
      <c r="C142" s="41">
        <v>7.5999999999999998E-2</v>
      </c>
      <c r="D142" s="55">
        <f>(C43+C87+C101+C122+C132)*C142</f>
        <v>370.1764955565867</v>
      </c>
      <c r="E142" s="38" t="s">
        <v>74</v>
      </c>
    </row>
    <row r="143" spans="1:5" x14ac:dyDescent="0.3">
      <c r="A143" s="14"/>
      <c r="B143" s="25" t="s">
        <v>43</v>
      </c>
      <c r="C143" s="26"/>
      <c r="D143" s="55"/>
    </row>
    <row r="144" spans="1:5" x14ac:dyDescent="0.3">
      <c r="A144" s="14"/>
      <c r="B144" s="25" t="s">
        <v>152</v>
      </c>
      <c r="C144" s="26">
        <v>0.05</v>
      </c>
      <c r="D144" s="59">
        <f>(C43+C87+C101+C122+C132)*C144</f>
        <v>243.53716812933337</v>
      </c>
    </row>
    <row r="145" spans="1:6" x14ac:dyDescent="0.3">
      <c r="A145" s="14"/>
      <c r="B145" s="25" t="s">
        <v>55</v>
      </c>
      <c r="C145" s="27">
        <f>SUM(C138:C144)</f>
        <v>0.27040000000000003</v>
      </c>
      <c r="D145" s="55">
        <f>(C43+C87+C101+C122+C132)*C145</f>
        <v>1317.049005243435</v>
      </c>
      <c r="E145" s="18"/>
      <c r="F145" s="19"/>
    </row>
    <row r="146" spans="1:6" x14ac:dyDescent="0.3">
      <c r="A146" s="374" t="s">
        <v>25</v>
      </c>
      <c r="B146" s="374"/>
      <c r="C146" s="26"/>
      <c r="D146" s="56">
        <f>D145</f>
        <v>1317.049005243435</v>
      </c>
    </row>
    <row r="148" spans="1:6" ht="13.5" thickBot="1" x14ac:dyDescent="0.35"/>
    <row r="149" spans="1:6" ht="16" thickBot="1" x14ac:dyDescent="0.35">
      <c r="A149" s="371" t="s">
        <v>44</v>
      </c>
      <c r="B149" s="372"/>
      <c r="C149" s="373"/>
    </row>
    <row r="151" spans="1:6" x14ac:dyDescent="0.3">
      <c r="A151" s="39"/>
      <c r="B151" s="39" t="s">
        <v>45</v>
      </c>
      <c r="C151" s="39" t="s">
        <v>8</v>
      </c>
    </row>
    <row r="152" spans="1:6" x14ac:dyDescent="0.3">
      <c r="A152" s="39" t="s">
        <v>9</v>
      </c>
      <c r="B152" s="25" t="s">
        <v>6</v>
      </c>
      <c r="C152" s="60">
        <f>C43</f>
        <v>1881.7599999999998</v>
      </c>
    </row>
    <row r="153" spans="1:6" x14ac:dyDescent="0.3">
      <c r="A153" s="39" t="s">
        <v>10</v>
      </c>
      <c r="B153" s="25" t="s">
        <v>16</v>
      </c>
      <c r="C153" s="60">
        <f>C87</f>
        <v>1966.5648115200001</v>
      </c>
    </row>
    <row r="154" spans="1:6" x14ac:dyDescent="0.3">
      <c r="A154" s="39" t="s">
        <v>11</v>
      </c>
      <c r="B154" s="25" t="s">
        <v>31</v>
      </c>
      <c r="C154" s="60">
        <f>C101</f>
        <v>138.19645439999999</v>
      </c>
    </row>
    <row r="155" spans="1:6" x14ac:dyDescent="0.3">
      <c r="A155" s="39" t="s">
        <v>12</v>
      </c>
      <c r="B155" s="28" t="s">
        <v>33</v>
      </c>
      <c r="C155" s="60">
        <f>C122</f>
        <v>292.61367999999999</v>
      </c>
    </row>
    <row r="156" spans="1:6" x14ac:dyDescent="0.3">
      <c r="A156" s="39" t="s">
        <v>13</v>
      </c>
      <c r="B156" s="25" t="s">
        <v>39</v>
      </c>
      <c r="C156" s="60">
        <f>C132</f>
        <v>591.6084166666667</v>
      </c>
    </row>
    <row r="157" spans="1:6" x14ac:dyDescent="0.3">
      <c r="A157" s="374" t="s">
        <v>46</v>
      </c>
      <c r="B157" s="374"/>
      <c r="C157" s="61">
        <f>SUM(C152:C156)</f>
        <v>4870.743362586667</v>
      </c>
    </row>
    <row r="158" spans="1:6" x14ac:dyDescent="0.3">
      <c r="A158" s="39" t="s">
        <v>14</v>
      </c>
      <c r="B158" s="25" t="s">
        <v>47</v>
      </c>
      <c r="C158" s="60">
        <f>D146</f>
        <v>1317.049005243435</v>
      </c>
    </row>
    <row r="159" spans="1:6" x14ac:dyDescent="0.3">
      <c r="A159" s="374" t="s">
        <v>160</v>
      </c>
      <c r="B159" s="374"/>
      <c r="C159" s="62">
        <f>C157+C158</f>
        <v>6187.7923678301022</v>
      </c>
      <c r="D159" s="17"/>
    </row>
    <row r="160" spans="1:6" x14ac:dyDescent="0.3">
      <c r="A160" s="375" t="s">
        <v>56</v>
      </c>
      <c r="B160" s="376"/>
      <c r="C160" s="63">
        <f>12*C159</f>
        <v>74253.50841396123</v>
      </c>
      <c r="D160" s="17"/>
    </row>
    <row r="161" spans="1:5" x14ac:dyDescent="0.3">
      <c r="A161" s="383" t="s">
        <v>142</v>
      </c>
      <c r="B161" s="384"/>
      <c r="C161" s="62">
        <f>2*C160</f>
        <v>148507.01682792246</v>
      </c>
      <c r="D161" s="17"/>
    </row>
    <row r="162" spans="1:5" s="50" customFormat="1" ht="13.5" thickBot="1" x14ac:dyDescent="0.35">
      <c r="A162" s="380" t="s">
        <v>97</v>
      </c>
      <c r="B162" s="381"/>
      <c r="C162" s="382"/>
      <c r="D162" s="48"/>
      <c r="E162" s="49"/>
    </row>
    <row r="163" spans="1:5" s="50" customFormat="1" ht="91.4" customHeight="1" thickBot="1" x14ac:dyDescent="0.35">
      <c r="A163" s="377" t="s">
        <v>86</v>
      </c>
      <c r="B163" s="378"/>
      <c r="C163" s="379"/>
    </row>
  </sheetData>
  <mergeCells count="42">
    <mergeCell ref="A163:C163"/>
    <mergeCell ref="A157:B157"/>
    <mergeCell ref="A159:B159"/>
    <mergeCell ref="A160:B160"/>
    <mergeCell ref="A161:B161"/>
    <mergeCell ref="A162:C162"/>
    <mergeCell ref="A149:C149"/>
    <mergeCell ref="A100:B100"/>
    <mergeCell ref="A101:B101"/>
    <mergeCell ref="A104:C104"/>
    <mergeCell ref="A106:C106"/>
    <mergeCell ref="A115:B115"/>
    <mergeCell ref="A118:C118"/>
    <mergeCell ref="A122:B122"/>
    <mergeCell ref="A125:C125"/>
    <mergeCell ref="A132:B132"/>
    <mergeCell ref="A135:D135"/>
    <mergeCell ref="A146:B146"/>
    <mergeCell ref="A96:B96"/>
    <mergeCell ref="A46:C46"/>
    <mergeCell ref="A48:C48"/>
    <mergeCell ref="A53:B53"/>
    <mergeCell ref="A56:D56"/>
    <mergeCell ref="A66:B66"/>
    <mergeCell ref="A68:B68"/>
    <mergeCell ref="A71:C71"/>
    <mergeCell ref="A78:B78"/>
    <mergeCell ref="A81:C81"/>
    <mergeCell ref="A87:B87"/>
    <mergeCell ref="A90:C90"/>
    <mergeCell ref="A43:B43"/>
    <mergeCell ref="A1:C1"/>
    <mergeCell ref="A2:C2"/>
    <mergeCell ref="A4:C4"/>
    <mergeCell ref="A5:C5"/>
    <mergeCell ref="A6:C6"/>
    <mergeCell ref="A10:C10"/>
    <mergeCell ref="A18:A19"/>
    <mergeCell ref="A20:B20"/>
    <mergeCell ref="A23:C23"/>
    <mergeCell ref="A28:C28"/>
    <mergeCell ref="A37:C37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63"/>
  <sheetViews>
    <sheetView showGridLines="0" topLeftCell="A39" zoomScaleNormal="100" workbookViewId="0">
      <selection activeCell="C44" sqref="C44"/>
    </sheetView>
  </sheetViews>
  <sheetFormatPr defaultColWidth="9.1796875" defaultRowHeight="13" x14ac:dyDescent="0.3"/>
  <cols>
    <col min="1" max="1" width="17.26953125" style="5" bestFit="1" customWidth="1"/>
    <col min="2" max="2" width="72.1796875" style="5" customWidth="1"/>
    <col min="3" max="3" width="20.26953125" style="5" bestFit="1" customWidth="1"/>
    <col min="4" max="4" width="15.26953125" style="5" bestFit="1" customWidth="1"/>
    <col min="5" max="5" width="14.7265625" style="5" customWidth="1"/>
    <col min="6" max="6" width="12" style="5" customWidth="1"/>
    <col min="7" max="7" width="15.1796875" style="5" customWidth="1"/>
    <col min="8" max="16384" width="9.1796875" style="5"/>
  </cols>
  <sheetData>
    <row r="1" spans="1:3" x14ac:dyDescent="0.3">
      <c r="A1" s="366" t="s">
        <v>59</v>
      </c>
      <c r="B1" s="366"/>
      <c r="C1" s="366"/>
    </row>
    <row r="2" spans="1:3" x14ac:dyDescent="0.3">
      <c r="A2" s="367" t="s">
        <v>146</v>
      </c>
      <c r="B2" s="367"/>
      <c r="C2" s="367"/>
    </row>
    <row r="3" spans="1:3" x14ac:dyDescent="0.3">
      <c r="A3" s="37"/>
      <c r="B3" s="37"/>
      <c r="C3" s="37"/>
    </row>
    <row r="4" spans="1:3" x14ac:dyDescent="0.3">
      <c r="A4" s="368" t="s">
        <v>420</v>
      </c>
      <c r="B4" s="368"/>
      <c r="C4" s="368"/>
    </row>
    <row r="5" spans="1:3" x14ac:dyDescent="0.3">
      <c r="A5" s="369" t="s">
        <v>147</v>
      </c>
      <c r="B5" s="369"/>
      <c r="C5" s="369"/>
    </row>
    <row r="6" spans="1:3" x14ac:dyDescent="0.3">
      <c r="A6" s="370" t="s">
        <v>148</v>
      </c>
      <c r="B6" s="370"/>
      <c r="C6" s="370"/>
    </row>
    <row r="10" spans="1:3" x14ac:dyDescent="0.3">
      <c r="A10" s="362" t="s">
        <v>60</v>
      </c>
      <c r="B10" s="362"/>
      <c r="C10" s="362"/>
    </row>
    <row r="11" spans="1:3" x14ac:dyDescent="0.3">
      <c r="A11" s="14" t="s">
        <v>9</v>
      </c>
      <c r="B11" s="13" t="s">
        <v>61</v>
      </c>
      <c r="C11" s="6" t="s">
        <v>149</v>
      </c>
    </row>
    <row r="12" spans="1:3" x14ac:dyDescent="0.3">
      <c r="A12" s="14" t="s">
        <v>10</v>
      </c>
      <c r="B12" s="13" t="s">
        <v>62</v>
      </c>
      <c r="C12" s="7" t="s">
        <v>380</v>
      </c>
    </row>
    <row r="13" spans="1:3" ht="15.65" customHeight="1" x14ac:dyDescent="0.3">
      <c r="A13" s="14" t="s">
        <v>11</v>
      </c>
      <c r="B13" s="13" t="s">
        <v>63</v>
      </c>
      <c r="C13" s="21" t="s">
        <v>151</v>
      </c>
    </row>
    <row r="14" spans="1:3" x14ac:dyDescent="0.3">
      <c r="A14" s="14" t="s">
        <v>12</v>
      </c>
      <c r="B14" s="13" t="s">
        <v>64</v>
      </c>
      <c r="C14" s="8">
        <v>12</v>
      </c>
    </row>
    <row r="17" spans="1:4" x14ac:dyDescent="0.3">
      <c r="A17" s="68" t="s">
        <v>110</v>
      </c>
      <c r="B17" s="68" t="s">
        <v>111</v>
      </c>
      <c r="C17" s="68" t="s">
        <v>112</v>
      </c>
    </row>
    <row r="18" spans="1:4" x14ac:dyDescent="0.3">
      <c r="A18" s="363" t="s">
        <v>113</v>
      </c>
      <c r="B18" s="69" t="s">
        <v>114</v>
      </c>
      <c r="C18" s="70">
        <v>827.74</v>
      </c>
    </row>
    <row r="19" spans="1:4" x14ac:dyDescent="0.3">
      <c r="A19" s="363"/>
      <c r="B19" s="71" t="s">
        <v>115</v>
      </c>
      <c r="C19" s="72">
        <v>120.88</v>
      </c>
    </row>
    <row r="20" spans="1:4" x14ac:dyDescent="0.3">
      <c r="A20" s="364"/>
      <c r="B20" s="364"/>
      <c r="C20" s="74">
        <f>SUM(C18:C19)</f>
        <v>948.62</v>
      </c>
    </row>
    <row r="23" spans="1:4" x14ac:dyDescent="0.3">
      <c r="A23" s="365" t="s">
        <v>118</v>
      </c>
      <c r="B23" s="365"/>
      <c r="C23" s="365"/>
    </row>
    <row r="24" spans="1:4" ht="36" x14ac:dyDescent="0.3">
      <c r="A24" s="75" t="s">
        <v>110</v>
      </c>
      <c r="B24" s="75" t="s">
        <v>119</v>
      </c>
      <c r="C24" s="76" t="s">
        <v>120</v>
      </c>
    </row>
    <row r="25" spans="1:4" x14ac:dyDescent="0.3">
      <c r="A25" s="77" t="s">
        <v>121</v>
      </c>
      <c r="B25" s="78" t="s">
        <v>122</v>
      </c>
      <c r="C25" s="79">
        <f>C20</f>
        <v>948.62</v>
      </c>
    </row>
    <row r="27" spans="1:4" ht="15" customHeight="1" x14ac:dyDescent="0.3"/>
    <row r="28" spans="1:4" ht="15" customHeight="1" x14ac:dyDescent="0.3">
      <c r="A28" s="362" t="s">
        <v>65</v>
      </c>
      <c r="B28" s="362"/>
      <c r="C28" s="362"/>
    </row>
    <row r="29" spans="1:4" ht="15" customHeight="1" x14ac:dyDescent="0.3">
      <c r="A29" s="14">
        <v>1</v>
      </c>
      <c r="B29" s="10" t="s">
        <v>66</v>
      </c>
      <c r="C29" s="44" t="s">
        <v>123</v>
      </c>
    </row>
    <row r="30" spans="1:4" ht="15" customHeight="1" x14ac:dyDescent="0.3">
      <c r="A30" s="14">
        <v>2</v>
      </c>
      <c r="B30" s="10" t="s">
        <v>67</v>
      </c>
      <c r="C30" s="22" t="s">
        <v>124</v>
      </c>
    </row>
    <row r="31" spans="1:4" ht="15" customHeight="1" x14ac:dyDescent="0.3">
      <c r="A31" s="14">
        <v>3</v>
      </c>
      <c r="B31" s="11" t="s">
        <v>153</v>
      </c>
      <c r="C31" s="23">
        <v>1403.85</v>
      </c>
      <c r="D31" s="51"/>
    </row>
    <row r="32" spans="1:4" ht="15" customHeight="1" x14ac:dyDescent="0.3">
      <c r="A32" s="14">
        <v>4</v>
      </c>
      <c r="B32" s="10" t="s">
        <v>68</v>
      </c>
      <c r="C32" s="9" t="s">
        <v>154</v>
      </c>
    </row>
    <row r="33" spans="1:3" ht="15" customHeight="1" x14ac:dyDescent="0.3">
      <c r="A33" s="14">
        <v>5</v>
      </c>
      <c r="B33" s="10" t="s">
        <v>69</v>
      </c>
      <c r="C33" s="12">
        <v>44927</v>
      </c>
    </row>
    <row r="36" spans="1:3" ht="13.5" thickBot="1" x14ac:dyDescent="0.35"/>
    <row r="37" spans="1:3" ht="16" thickBot="1" x14ac:dyDescent="0.35">
      <c r="A37" s="387" t="s">
        <v>6</v>
      </c>
      <c r="B37" s="388"/>
      <c r="C37" s="389"/>
    </row>
    <row r="39" spans="1:3" x14ac:dyDescent="0.3">
      <c r="A39" s="39">
        <v>1</v>
      </c>
      <c r="B39" s="39" t="s">
        <v>7</v>
      </c>
      <c r="C39" s="39" t="s">
        <v>8</v>
      </c>
    </row>
    <row r="40" spans="1:3" x14ac:dyDescent="0.3">
      <c r="A40" s="14" t="s">
        <v>9</v>
      </c>
      <c r="B40" s="25" t="s">
        <v>156</v>
      </c>
      <c r="C40" s="52">
        <f>C31</f>
        <v>1403.85</v>
      </c>
    </row>
    <row r="41" spans="1:3" ht="26" x14ac:dyDescent="0.3">
      <c r="A41" s="14" t="s">
        <v>10</v>
      </c>
      <c r="B41" s="25" t="s">
        <v>437</v>
      </c>
      <c r="C41" s="112">
        <f>(1412/100)*30</f>
        <v>423.59999999999997</v>
      </c>
    </row>
    <row r="42" spans="1:3" x14ac:dyDescent="0.3">
      <c r="A42" s="14" t="s">
        <v>11</v>
      </c>
      <c r="B42" s="25" t="s">
        <v>157</v>
      </c>
      <c r="C42" s="52">
        <v>54.31</v>
      </c>
    </row>
    <row r="43" spans="1:3" x14ac:dyDescent="0.3">
      <c r="A43" s="392" t="s">
        <v>0</v>
      </c>
      <c r="B43" s="393"/>
      <c r="C43" s="54">
        <f>SUM(C40:C42)</f>
        <v>1881.7599999999998</v>
      </c>
    </row>
    <row r="46" spans="1:3" x14ac:dyDescent="0.3">
      <c r="A46" s="394" t="s">
        <v>16</v>
      </c>
      <c r="B46" s="394"/>
      <c r="C46" s="394"/>
    </row>
    <row r="47" spans="1:3" x14ac:dyDescent="0.3">
      <c r="A47" s="15"/>
    </row>
    <row r="48" spans="1:3" x14ac:dyDescent="0.3">
      <c r="A48" s="390" t="s">
        <v>17</v>
      </c>
      <c r="B48" s="390"/>
      <c r="C48" s="390"/>
    </row>
    <row r="50" spans="1:5" x14ac:dyDescent="0.3">
      <c r="A50" s="39" t="s">
        <v>18</v>
      </c>
      <c r="B50" s="39" t="s">
        <v>19</v>
      </c>
      <c r="C50" s="39" t="s">
        <v>8</v>
      </c>
    </row>
    <row r="51" spans="1:5" x14ac:dyDescent="0.3">
      <c r="A51" s="14" t="s">
        <v>9</v>
      </c>
      <c r="B51" s="25" t="s">
        <v>84</v>
      </c>
      <c r="C51" s="52">
        <f>C43/12</f>
        <v>156.8133333333333</v>
      </c>
    </row>
    <row r="52" spans="1:5" x14ac:dyDescent="0.3">
      <c r="A52" s="14" t="s">
        <v>10</v>
      </c>
      <c r="B52" s="25" t="s">
        <v>85</v>
      </c>
      <c r="C52" s="52">
        <f>(C43/100)*12.1</f>
        <v>227.69295999999997</v>
      </c>
    </row>
    <row r="53" spans="1:5" x14ac:dyDescent="0.3">
      <c r="A53" s="374" t="s">
        <v>0</v>
      </c>
      <c r="B53" s="374"/>
      <c r="C53" s="54">
        <f>SUM(C51:C52)</f>
        <v>384.50629333333325</v>
      </c>
    </row>
    <row r="56" spans="1:5" ht="32.25" customHeight="1" x14ac:dyDescent="0.3">
      <c r="A56" s="396" t="s">
        <v>20</v>
      </c>
      <c r="B56" s="396"/>
      <c r="C56" s="396"/>
      <c r="D56" s="396"/>
    </row>
    <row r="58" spans="1:5" x14ac:dyDescent="0.3">
      <c r="A58" s="39" t="s">
        <v>21</v>
      </c>
      <c r="B58" s="39" t="s">
        <v>22</v>
      </c>
      <c r="C58" s="39" t="s">
        <v>23</v>
      </c>
      <c r="D58" s="39" t="s">
        <v>8</v>
      </c>
    </row>
    <row r="59" spans="1:5" x14ac:dyDescent="0.3">
      <c r="A59" s="14" t="s">
        <v>9</v>
      </c>
      <c r="B59" s="25" t="s">
        <v>88</v>
      </c>
      <c r="C59" s="33">
        <v>0.2</v>
      </c>
      <c r="D59" s="52">
        <f>(C43+C53)*C59</f>
        <v>453.25325866666662</v>
      </c>
    </row>
    <row r="60" spans="1:5" x14ac:dyDescent="0.3">
      <c r="A60" s="14" t="s">
        <v>10</v>
      </c>
      <c r="B60" s="25" t="s">
        <v>94</v>
      </c>
      <c r="C60" s="33">
        <v>2.5000000000000001E-2</v>
      </c>
      <c r="D60" s="52">
        <f>(C43+C53)*C60</f>
        <v>56.656657333333328</v>
      </c>
    </row>
    <row r="61" spans="1:5" x14ac:dyDescent="0.3">
      <c r="A61" s="14" t="s">
        <v>11</v>
      </c>
      <c r="B61" s="25" t="s">
        <v>93</v>
      </c>
      <c r="C61" s="34">
        <v>0.03</v>
      </c>
      <c r="D61" s="52">
        <f>(C43+C53)*C61</f>
        <v>67.987988799999997</v>
      </c>
      <c r="E61" s="38" t="s">
        <v>73</v>
      </c>
    </row>
    <row r="62" spans="1:5" x14ac:dyDescent="0.3">
      <c r="A62" s="14" t="s">
        <v>12</v>
      </c>
      <c r="B62" s="25" t="s">
        <v>89</v>
      </c>
      <c r="C62" s="33">
        <v>1.4999999999999999E-2</v>
      </c>
      <c r="D62" s="52">
        <f>(C43+C53)*C62</f>
        <v>33.993994399999998</v>
      </c>
    </row>
    <row r="63" spans="1:5" x14ac:dyDescent="0.3">
      <c r="A63" s="14" t="s">
        <v>13</v>
      </c>
      <c r="B63" s="25" t="s">
        <v>90</v>
      </c>
      <c r="C63" s="33">
        <v>0.01</v>
      </c>
      <c r="D63" s="52">
        <f>(C43+C53)*C63</f>
        <v>22.662662933333333</v>
      </c>
    </row>
    <row r="64" spans="1:5" x14ac:dyDescent="0.3">
      <c r="A64" s="14" t="s">
        <v>14</v>
      </c>
      <c r="B64" s="25" t="s">
        <v>91</v>
      </c>
      <c r="C64" s="33">
        <v>6.0000000000000001E-3</v>
      </c>
      <c r="D64" s="52">
        <f>(C43+C43)*C64</f>
        <v>22.581119999999999</v>
      </c>
    </row>
    <row r="65" spans="1:5" x14ac:dyDescent="0.3">
      <c r="A65" s="14" t="s">
        <v>15</v>
      </c>
      <c r="B65" s="25" t="s">
        <v>92</v>
      </c>
      <c r="C65" s="33">
        <v>2E-3</v>
      </c>
      <c r="D65" s="52">
        <f>(C43+C53)*C65</f>
        <v>4.5325325866666661</v>
      </c>
    </row>
    <row r="66" spans="1:5" x14ac:dyDescent="0.3">
      <c r="A66" s="397" t="s">
        <v>50</v>
      </c>
      <c r="B66" s="397"/>
      <c r="C66" s="35">
        <f>SUM(C59:C65)</f>
        <v>0.28800000000000003</v>
      </c>
      <c r="D66" s="53">
        <f>SUM(D59:D65)</f>
        <v>661.66821472000004</v>
      </c>
    </row>
    <row r="67" spans="1:5" x14ac:dyDescent="0.3">
      <c r="A67" s="14" t="s">
        <v>24</v>
      </c>
      <c r="B67" s="25" t="s">
        <v>95</v>
      </c>
      <c r="C67" s="33">
        <v>0.08</v>
      </c>
      <c r="D67" s="52">
        <f>(C43+C53)*C67</f>
        <v>181.30130346666667</v>
      </c>
    </row>
    <row r="68" spans="1:5" x14ac:dyDescent="0.3">
      <c r="A68" s="374" t="s">
        <v>25</v>
      </c>
      <c r="B68" s="374"/>
      <c r="C68" s="36">
        <f>SUM(C66:C67)</f>
        <v>0.36800000000000005</v>
      </c>
      <c r="D68" s="54">
        <f>SUM(D66:D67)</f>
        <v>842.96951818666673</v>
      </c>
    </row>
    <row r="71" spans="1:5" x14ac:dyDescent="0.3">
      <c r="A71" s="390" t="s">
        <v>26</v>
      </c>
      <c r="B71" s="390"/>
      <c r="C71" s="390"/>
    </row>
    <row r="73" spans="1:5" x14ac:dyDescent="0.3">
      <c r="A73" s="39" t="s">
        <v>27</v>
      </c>
      <c r="B73" s="39" t="s">
        <v>28</v>
      </c>
      <c r="C73" s="39" t="s">
        <v>8</v>
      </c>
    </row>
    <row r="74" spans="1:5" x14ac:dyDescent="0.3">
      <c r="A74" s="14" t="s">
        <v>9</v>
      </c>
      <c r="B74" s="25" t="s">
        <v>384</v>
      </c>
      <c r="C74" s="64">
        <f>(4.95*2*22)-(C40/100)*6</f>
        <v>133.56900000000002</v>
      </c>
      <c r="D74" s="20"/>
      <c r="E74" s="20"/>
    </row>
    <row r="75" spans="1:5" x14ac:dyDescent="0.3">
      <c r="A75" s="14" t="s">
        <v>10</v>
      </c>
      <c r="B75" s="25" t="s">
        <v>159</v>
      </c>
      <c r="C75" s="52">
        <f>(19.9*22)-(437.8/100)*5</f>
        <v>415.90999999999997</v>
      </c>
      <c r="D75" s="17"/>
    </row>
    <row r="76" spans="1:5" x14ac:dyDescent="0.3">
      <c r="A76" s="14" t="s">
        <v>11</v>
      </c>
      <c r="B76" s="1" t="s">
        <v>158</v>
      </c>
      <c r="C76" s="83">
        <v>49</v>
      </c>
    </row>
    <row r="77" spans="1:5" s="465" customFormat="1" x14ac:dyDescent="0.3">
      <c r="A77" s="463" t="s">
        <v>12</v>
      </c>
      <c r="B77" s="464" t="s">
        <v>155</v>
      </c>
      <c r="C77" s="466">
        <v>140.61000000000001</v>
      </c>
    </row>
    <row r="78" spans="1:5" x14ac:dyDescent="0.3">
      <c r="A78" s="374" t="s">
        <v>0</v>
      </c>
      <c r="B78" s="374"/>
      <c r="C78" s="54">
        <f>SUM(C74:C77)</f>
        <v>739.08900000000006</v>
      </c>
    </row>
    <row r="81" spans="1:3" x14ac:dyDescent="0.3">
      <c r="A81" s="390" t="s">
        <v>29</v>
      </c>
      <c r="B81" s="390"/>
      <c r="C81" s="390"/>
    </row>
    <row r="83" spans="1:3" x14ac:dyDescent="0.3">
      <c r="A83" s="39">
        <v>2</v>
      </c>
      <c r="B83" s="39" t="s">
        <v>30</v>
      </c>
      <c r="C83" s="39" t="s">
        <v>8</v>
      </c>
    </row>
    <row r="84" spans="1:3" x14ac:dyDescent="0.3">
      <c r="A84" s="14" t="s">
        <v>18</v>
      </c>
      <c r="B84" s="25" t="s">
        <v>19</v>
      </c>
      <c r="C84" s="55">
        <f>C53</f>
        <v>384.50629333333325</v>
      </c>
    </row>
    <row r="85" spans="1:3" x14ac:dyDescent="0.3">
      <c r="A85" s="14" t="s">
        <v>21</v>
      </c>
      <c r="B85" s="25" t="s">
        <v>22</v>
      </c>
      <c r="C85" s="55">
        <f>D68</f>
        <v>842.96951818666673</v>
      </c>
    </row>
    <row r="86" spans="1:3" x14ac:dyDescent="0.3">
      <c r="A86" s="14" t="s">
        <v>27</v>
      </c>
      <c r="B86" s="25" t="s">
        <v>28</v>
      </c>
      <c r="C86" s="55">
        <f>C78</f>
        <v>739.08900000000006</v>
      </c>
    </row>
    <row r="87" spans="1:3" x14ac:dyDescent="0.3">
      <c r="A87" s="374" t="s">
        <v>0</v>
      </c>
      <c r="B87" s="374"/>
      <c r="C87" s="56">
        <f>SUM(C84:C86)</f>
        <v>1966.5648115200001</v>
      </c>
    </row>
    <row r="88" spans="1:3" x14ac:dyDescent="0.3">
      <c r="A88" s="16"/>
    </row>
    <row r="89" spans="1:3" ht="13.5" thickBot="1" x14ac:dyDescent="0.35"/>
    <row r="90" spans="1:3" ht="13.5" thickBot="1" x14ac:dyDescent="0.35">
      <c r="A90" s="398" t="s">
        <v>31</v>
      </c>
      <c r="B90" s="399"/>
      <c r="C90" s="400"/>
    </row>
    <row r="92" spans="1:3" x14ac:dyDescent="0.3">
      <c r="A92" s="39">
        <v>3</v>
      </c>
      <c r="B92" s="39" t="s">
        <v>32</v>
      </c>
      <c r="C92" s="39" t="s">
        <v>8</v>
      </c>
    </row>
    <row r="93" spans="1:3" x14ac:dyDescent="0.3">
      <c r="A93" s="14" t="s">
        <v>9</v>
      </c>
      <c r="B93" s="31" t="s">
        <v>71</v>
      </c>
      <c r="C93" s="52">
        <f>(C43/100)*1.81</f>
        <v>34.059855999999996</v>
      </c>
    </row>
    <row r="94" spans="1:3" x14ac:dyDescent="0.3">
      <c r="A94" s="14" t="s">
        <v>10</v>
      </c>
      <c r="B94" s="31" t="s">
        <v>72</v>
      </c>
      <c r="C94" s="52">
        <f>(C43/100)*0.14</f>
        <v>2.6344639999999999</v>
      </c>
    </row>
    <row r="95" spans="1:3" ht="26" x14ac:dyDescent="0.3">
      <c r="A95" s="14" t="s">
        <v>11</v>
      </c>
      <c r="B95" s="31" t="s">
        <v>75</v>
      </c>
      <c r="C95" s="52">
        <f>(C43/100)*4.05</f>
        <v>76.211279999999988</v>
      </c>
    </row>
    <row r="96" spans="1:3" x14ac:dyDescent="0.3">
      <c r="A96" s="401" t="s">
        <v>51</v>
      </c>
      <c r="B96" s="402"/>
      <c r="C96" s="54">
        <f>SUM(C93:C95)</f>
        <v>112.90559999999999</v>
      </c>
    </row>
    <row r="97" spans="1:4" ht="32.15" customHeight="1" x14ac:dyDescent="0.3">
      <c r="A97" s="14" t="s">
        <v>12</v>
      </c>
      <c r="B97" s="32" t="s">
        <v>76</v>
      </c>
      <c r="C97" s="57">
        <f>(C43/100)*0.194</f>
        <v>3.6506143999999998</v>
      </c>
    </row>
    <row r="98" spans="1:4" ht="26" x14ac:dyDescent="0.3">
      <c r="A98" s="14" t="s">
        <v>13</v>
      </c>
      <c r="B98" s="67" t="s">
        <v>77</v>
      </c>
      <c r="C98" s="57">
        <f>(C43/100)*0.7</f>
        <v>13.172319999999999</v>
      </c>
      <c r="D98" s="45"/>
    </row>
    <row r="99" spans="1:4" ht="26" x14ac:dyDescent="0.3">
      <c r="A99" s="42" t="s">
        <v>14</v>
      </c>
      <c r="B99" s="46" t="s">
        <v>78</v>
      </c>
      <c r="C99" s="66">
        <f>(C43/100)*0.45</f>
        <v>8.4679199999999994</v>
      </c>
    </row>
    <row r="100" spans="1:4" x14ac:dyDescent="0.3">
      <c r="A100" s="401" t="s">
        <v>52</v>
      </c>
      <c r="B100" s="403"/>
      <c r="C100" s="54">
        <f>SUM(C97:C99)</f>
        <v>25.290854399999997</v>
      </c>
    </row>
    <row r="101" spans="1:4" x14ac:dyDescent="0.3">
      <c r="A101" s="395" t="s">
        <v>53</v>
      </c>
      <c r="B101" s="395"/>
      <c r="C101" s="65">
        <f>C96+C100</f>
        <v>138.19645439999999</v>
      </c>
    </row>
    <row r="103" spans="1:4" ht="13.5" thickBot="1" x14ac:dyDescent="0.35"/>
    <row r="104" spans="1:4" ht="16" thickBot="1" x14ac:dyDescent="0.35">
      <c r="A104" s="387" t="s">
        <v>33</v>
      </c>
      <c r="B104" s="388"/>
      <c r="C104" s="389"/>
    </row>
    <row r="106" spans="1:4" x14ac:dyDescent="0.3">
      <c r="A106" s="390" t="s">
        <v>34</v>
      </c>
      <c r="B106" s="390"/>
      <c r="C106" s="390"/>
    </row>
    <row r="107" spans="1:4" x14ac:dyDescent="0.3">
      <c r="A107" s="15"/>
    </row>
    <row r="108" spans="1:4" x14ac:dyDescent="0.3">
      <c r="A108" s="39" t="s">
        <v>35</v>
      </c>
      <c r="B108" s="43" t="s">
        <v>36</v>
      </c>
      <c r="C108" s="39" t="s">
        <v>8</v>
      </c>
    </row>
    <row r="109" spans="1:4" ht="26" x14ac:dyDescent="0.3">
      <c r="A109" s="42" t="s">
        <v>9</v>
      </c>
      <c r="B109" s="46" t="s">
        <v>79</v>
      </c>
      <c r="C109" s="58">
        <f>(C43/100)*0.95</f>
        <v>17.876719999999999</v>
      </c>
      <c r="D109" s="20"/>
    </row>
    <row r="110" spans="1:4" ht="26" x14ac:dyDescent="0.3">
      <c r="A110" s="42" t="s">
        <v>10</v>
      </c>
      <c r="B110" s="46" t="s">
        <v>80</v>
      </c>
      <c r="C110" s="58">
        <f>(C43/100)*4.17</f>
        <v>78.469391999999999</v>
      </c>
      <c r="D110" s="19"/>
    </row>
    <row r="111" spans="1:4" x14ac:dyDescent="0.3">
      <c r="A111" s="42" t="s">
        <v>11</v>
      </c>
      <c r="B111" s="47" t="s">
        <v>81</v>
      </c>
      <c r="C111" s="58">
        <f>(C43/100)*0.1</f>
        <v>1.8817599999999999</v>
      </c>
    </row>
    <row r="112" spans="1:4" ht="26" x14ac:dyDescent="0.3">
      <c r="A112" s="42" t="s">
        <v>12</v>
      </c>
      <c r="B112" s="47" t="s">
        <v>82</v>
      </c>
      <c r="C112" s="58">
        <f>(C43/100)*0.63</f>
        <v>11.855087999999999</v>
      </c>
    </row>
    <row r="113" spans="1:3" ht="26" x14ac:dyDescent="0.3">
      <c r="A113" s="42" t="s">
        <v>13</v>
      </c>
      <c r="B113" s="47" t="s">
        <v>83</v>
      </c>
      <c r="C113" s="58">
        <f>(C43/100)*0.02</f>
        <v>0.37635199999999996</v>
      </c>
    </row>
    <row r="114" spans="1:3" ht="26" x14ac:dyDescent="0.3">
      <c r="A114" s="42" t="s">
        <v>14</v>
      </c>
      <c r="B114" s="47" t="s">
        <v>96</v>
      </c>
      <c r="C114" s="58">
        <f>(C43/100)*9.68</f>
        <v>182.15436799999998</v>
      </c>
    </row>
    <row r="115" spans="1:3" x14ac:dyDescent="0.3">
      <c r="A115" s="374" t="s">
        <v>25</v>
      </c>
      <c r="B115" s="391"/>
      <c r="C115" s="56">
        <f>SUM(C109:C114)</f>
        <v>292.61367999999999</v>
      </c>
    </row>
    <row r="118" spans="1:3" x14ac:dyDescent="0.3">
      <c r="A118" s="390" t="s">
        <v>37</v>
      </c>
      <c r="B118" s="390"/>
      <c r="C118" s="390"/>
    </row>
    <row r="119" spans="1:3" x14ac:dyDescent="0.3">
      <c r="A119" s="15"/>
    </row>
    <row r="120" spans="1:3" x14ac:dyDescent="0.3">
      <c r="A120" s="39">
        <v>4</v>
      </c>
      <c r="B120" s="40" t="s">
        <v>38</v>
      </c>
      <c r="C120" s="39" t="s">
        <v>8</v>
      </c>
    </row>
    <row r="121" spans="1:3" x14ac:dyDescent="0.3">
      <c r="A121" s="14" t="s">
        <v>35</v>
      </c>
      <c r="B121" s="25" t="s">
        <v>36</v>
      </c>
      <c r="C121" s="55">
        <f>C115</f>
        <v>292.61367999999999</v>
      </c>
    </row>
    <row r="122" spans="1:3" x14ac:dyDescent="0.3">
      <c r="A122" s="374" t="s">
        <v>0</v>
      </c>
      <c r="B122" s="374"/>
      <c r="C122" s="56">
        <f>SUM(C121:C121)</f>
        <v>292.61367999999999</v>
      </c>
    </row>
    <row r="124" spans="1:3" ht="13.5" thickBot="1" x14ac:dyDescent="0.35"/>
    <row r="125" spans="1:3" ht="16" thickBot="1" x14ac:dyDescent="0.35">
      <c r="A125" s="387" t="s">
        <v>39</v>
      </c>
      <c r="B125" s="388"/>
      <c r="C125" s="389"/>
    </row>
    <row r="127" spans="1:3" x14ac:dyDescent="0.3">
      <c r="A127" s="39">
        <v>5</v>
      </c>
      <c r="B127" s="24" t="s">
        <v>1</v>
      </c>
      <c r="C127" s="39" t="s">
        <v>8</v>
      </c>
    </row>
    <row r="128" spans="1:3" x14ac:dyDescent="0.3">
      <c r="A128" s="14" t="s">
        <v>9</v>
      </c>
      <c r="B128" s="25" t="s">
        <v>40</v>
      </c>
      <c r="C128" s="29">
        <f>UNIFORMES!F10</f>
        <v>53.034166666666664</v>
      </c>
    </row>
    <row r="129" spans="1:5" x14ac:dyDescent="0.3">
      <c r="A129" s="14" t="s">
        <v>10</v>
      </c>
      <c r="B129" s="25" t="s">
        <v>41</v>
      </c>
      <c r="C129" s="29">
        <f>MATERIAIS!F55</f>
        <v>426.05</v>
      </c>
    </row>
    <row r="130" spans="1:5" x14ac:dyDescent="0.3">
      <c r="A130" s="14" t="s">
        <v>11</v>
      </c>
      <c r="B130" s="25" t="s">
        <v>125</v>
      </c>
      <c r="C130" s="29">
        <f>UTENSÍLIOS!F68</f>
        <v>78.523749999999993</v>
      </c>
    </row>
    <row r="131" spans="1:5" x14ac:dyDescent="0.3">
      <c r="A131" s="14" t="s">
        <v>12</v>
      </c>
      <c r="B131" s="25" t="s">
        <v>70</v>
      </c>
      <c r="C131" s="321">
        <f>'EQUIPAMENTOS '!F31</f>
        <v>15.556833333333335</v>
      </c>
    </row>
    <row r="132" spans="1:5" x14ac:dyDescent="0.3">
      <c r="A132" s="374" t="s">
        <v>25</v>
      </c>
      <c r="B132" s="374"/>
      <c r="C132" s="30">
        <f>SUM(C128:C131)</f>
        <v>573.16474999999991</v>
      </c>
    </row>
    <row r="134" spans="1:5" ht="13.5" thickBot="1" x14ac:dyDescent="0.35"/>
    <row r="135" spans="1:5" ht="16" thickBot="1" x14ac:dyDescent="0.35">
      <c r="A135" s="387" t="s">
        <v>42</v>
      </c>
      <c r="B135" s="388"/>
      <c r="C135" s="388"/>
      <c r="D135" s="389"/>
    </row>
    <row r="137" spans="1:5" x14ac:dyDescent="0.3">
      <c r="A137" s="39">
        <v>6</v>
      </c>
      <c r="B137" s="24" t="s">
        <v>2</v>
      </c>
      <c r="C137" s="39" t="s">
        <v>23</v>
      </c>
      <c r="D137" s="39" t="s">
        <v>8</v>
      </c>
    </row>
    <row r="138" spans="1:5" x14ac:dyDescent="0.3">
      <c r="A138" s="14" t="s">
        <v>9</v>
      </c>
      <c r="B138" s="25" t="s">
        <v>3</v>
      </c>
      <c r="C138" s="26">
        <v>0.06</v>
      </c>
      <c r="D138" s="55">
        <f>(C43+C87+C101+C122+C132)*C138</f>
        <v>291.13798175519997</v>
      </c>
    </row>
    <row r="139" spans="1:5" x14ac:dyDescent="0.3">
      <c r="A139" s="14" t="s">
        <v>10</v>
      </c>
      <c r="B139" s="25" t="s">
        <v>5</v>
      </c>
      <c r="C139" s="26">
        <v>6.7900000000000002E-2</v>
      </c>
      <c r="D139" s="55">
        <f>(C43+C87+C101+C122+C132)*C139</f>
        <v>329.47114935296798</v>
      </c>
    </row>
    <row r="140" spans="1:5" x14ac:dyDescent="0.3">
      <c r="A140" s="14" t="s">
        <v>11</v>
      </c>
      <c r="B140" s="25" t="s">
        <v>4</v>
      </c>
      <c r="C140" s="26"/>
      <c r="D140" s="55"/>
    </row>
    <row r="141" spans="1:5" x14ac:dyDescent="0.3">
      <c r="A141" s="14"/>
      <c r="B141" s="25" t="s">
        <v>48</v>
      </c>
      <c r="C141" s="41">
        <v>1.6500000000000001E-2</v>
      </c>
      <c r="D141" s="55">
        <f>(C43+C87+C101+C122+C132)*C141</f>
        <v>80.062944982680008</v>
      </c>
      <c r="E141" s="38" t="s">
        <v>74</v>
      </c>
    </row>
    <row r="142" spans="1:5" x14ac:dyDescent="0.3">
      <c r="A142" s="14"/>
      <c r="B142" s="25" t="s">
        <v>49</v>
      </c>
      <c r="C142" s="41">
        <v>7.5999999999999998E-2</v>
      </c>
      <c r="D142" s="55">
        <f>(C43+C87+C101+C122+C132)*C142</f>
        <v>368.77477688991996</v>
      </c>
      <c r="E142" s="38" t="s">
        <v>74</v>
      </c>
    </row>
    <row r="143" spans="1:5" x14ac:dyDescent="0.3">
      <c r="A143" s="14"/>
      <c r="B143" s="25" t="s">
        <v>43</v>
      </c>
      <c r="C143" s="26"/>
      <c r="D143" s="55"/>
    </row>
    <row r="144" spans="1:5" x14ac:dyDescent="0.3">
      <c r="A144" s="14"/>
      <c r="B144" s="25" t="s">
        <v>152</v>
      </c>
      <c r="C144" s="245">
        <v>0.05</v>
      </c>
      <c r="D144" s="59">
        <f>(C43+C87+C101+C122+C132)*C144</f>
        <v>242.61498479600002</v>
      </c>
    </row>
    <row r="145" spans="1:6" x14ac:dyDescent="0.3">
      <c r="A145" s="14"/>
      <c r="B145" s="25" t="s">
        <v>55</v>
      </c>
      <c r="C145" s="27">
        <f>SUM(C138:C144)</f>
        <v>0.27040000000000003</v>
      </c>
      <c r="D145" s="55">
        <f>(C43+C87+C101+C122+C132)*C145</f>
        <v>1312.0618377767682</v>
      </c>
      <c r="E145" s="18"/>
      <c r="F145" s="19"/>
    </row>
    <row r="146" spans="1:6" x14ac:dyDescent="0.3">
      <c r="A146" s="374" t="s">
        <v>25</v>
      </c>
      <c r="B146" s="374"/>
      <c r="C146" s="26"/>
      <c r="D146" s="56">
        <f>D145</f>
        <v>1312.0618377767682</v>
      </c>
    </row>
    <row r="148" spans="1:6" ht="13.5" thickBot="1" x14ac:dyDescent="0.35"/>
    <row r="149" spans="1:6" ht="16" thickBot="1" x14ac:dyDescent="0.35">
      <c r="A149" s="371" t="s">
        <v>44</v>
      </c>
      <c r="B149" s="372"/>
      <c r="C149" s="373"/>
    </row>
    <row r="151" spans="1:6" x14ac:dyDescent="0.3">
      <c r="A151" s="39"/>
      <c r="B151" s="39" t="s">
        <v>45</v>
      </c>
      <c r="C151" s="39" t="s">
        <v>8</v>
      </c>
    </row>
    <row r="152" spans="1:6" x14ac:dyDescent="0.3">
      <c r="A152" s="39" t="s">
        <v>9</v>
      </c>
      <c r="B152" s="25" t="s">
        <v>6</v>
      </c>
      <c r="C152" s="60">
        <f>C43</f>
        <v>1881.7599999999998</v>
      </c>
    </row>
    <row r="153" spans="1:6" x14ac:dyDescent="0.3">
      <c r="A153" s="39" t="s">
        <v>10</v>
      </c>
      <c r="B153" s="25" t="s">
        <v>16</v>
      </c>
      <c r="C153" s="60">
        <f>C87</f>
        <v>1966.5648115200001</v>
      </c>
    </row>
    <row r="154" spans="1:6" x14ac:dyDescent="0.3">
      <c r="A154" s="39" t="s">
        <v>11</v>
      </c>
      <c r="B154" s="25" t="s">
        <v>31</v>
      </c>
      <c r="C154" s="60">
        <f>C101</f>
        <v>138.19645439999999</v>
      </c>
    </row>
    <row r="155" spans="1:6" x14ac:dyDescent="0.3">
      <c r="A155" s="39" t="s">
        <v>12</v>
      </c>
      <c r="B155" s="28" t="s">
        <v>33</v>
      </c>
      <c r="C155" s="60">
        <f>C122</f>
        <v>292.61367999999999</v>
      </c>
    </row>
    <row r="156" spans="1:6" x14ac:dyDescent="0.3">
      <c r="A156" s="39" t="s">
        <v>13</v>
      </c>
      <c r="B156" s="25" t="s">
        <v>39</v>
      </c>
      <c r="C156" s="60">
        <f>C132</f>
        <v>573.16474999999991</v>
      </c>
    </row>
    <row r="157" spans="1:6" x14ac:dyDescent="0.3">
      <c r="A157" s="374" t="s">
        <v>46</v>
      </c>
      <c r="B157" s="374"/>
      <c r="C157" s="61">
        <f>SUM(C152:C156)</f>
        <v>4852.29969592</v>
      </c>
    </row>
    <row r="158" spans="1:6" x14ac:dyDescent="0.3">
      <c r="A158" s="39" t="s">
        <v>14</v>
      </c>
      <c r="B158" s="25" t="s">
        <v>47</v>
      </c>
      <c r="C158" s="60">
        <f>D146</f>
        <v>1312.0618377767682</v>
      </c>
    </row>
    <row r="159" spans="1:6" x14ac:dyDescent="0.3">
      <c r="A159" s="374" t="s">
        <v>160</v>
      </c>
      <c r="B159" s="374"/>
      <c r="C159" s="62">
        <f>C157+C158</f>
        <v>6164.3615336967687</v>
      </c>
      <c r="D159" s="17"/>
    </row>
    <row r="160" spans="1:6" x14ac:dyDescent="0.3">
      <c r="A160" s="375" t="s">
        <v>56</v>
      </c>
      <c r="B160" s="376"/>
      <c r="C160" s="63">
        <f>12*C159</f>
        <v>73972.338404361217</v>
      </c>
      <c r="D160" s="17"/>
    </row>
    <row r="161" spans="1:5" x14ac:dyDescent="0.3">
      <c r="A161" s="383" t="s">
        <v>142</v>
      </c>
      <c r="B161" s="384"/>
      <c r="C161" s="62">
        <f>2*C160</f>
        <v>147944.67680872243</v>
      </c>
      <c r="D161" s="17"/>
    </row>
    <row r="162" spans="1:5" s="50" customFormat="1" ht="13.5" thickBot="1" x14ac:dyDescent="0.35">
      <c r="A162" s="380" t="s">
        <v>97</v>
      </c>
      <c r="B162" s="381"/>
      <c r="C162" s="382"/>
      <c r="D162" s="48"/>
      <c r="E162" s="49"/>
    </row>
    <row r="163" spans="1:5" s="50" customFormat="1" ht="91.4" customHeight="1" thickBot="1" x14ac:dyDescent="0.35">
      <c r="A163" s="377" t="s">
        <v>86</v>
      </c>
      <c r="B163" s="378"/>
      <c r="C163" s="379"/>
    </row>
  </sheetData>
  <mergeCells count="42">
    <mergeCell ref="A163:C163"/>
    <mergeCell ref="A157:B157"/>
    <mergeCell ref="A159:B159"/>
    <mergeCell ref="A160:B160"/>
    <mergeCell ref="A161:B161"/>
    <mergeCell ref="A162:C162"/>
    <mergeCell ref="A149:C149"/>
    <mergeCell ref="A100:B100"/>
    <mergeCell ref="A101:B101"/>
    <mergeCell ref="A104:C104"/>
    <mergeCell ref="A106:C106"/>
    <mergeCell ref="A115:B115"/>
    <mergeCell ref="A118:C118"/>
    <mergeCell ref="A122:B122"/>
    <mergeCell ref="A125:C125"/>
    <mergeCell ref="A132:B132"/>
    <mergeCell ref="A135:D135"/>
    <mergeCell ref="A146:B146"/>
    <mergeCell ref="A96:B96"/>
    <mergeCell ref="A46:C46"/>
    <mergeCell ref="A48:C48"/>
    <mergeCell ref="A53:B53"/>
    <mergeCell ref="A56:D56"/>
    <mergeCell ref="A66:B66"/>
    <mergeCell ref="A68:B68"/>
    <mergeCell ref="A71:C71"/>
    <mergeCell ref="A78:B78"/>
    <mergeCell ref="A81:C81"/>
    <mergeCell ref="A87:B87"/>
    <mergeCell ref="A90:C90"/>
    <mergeCell ref="A43:B43"/>
    <mergeCell ref="A1:C1"/>
    <mergeCell ref="A2:C2"/>
    <mergeCell ref="A4:C4"/>
    <mergeCell ref="A5:C5"/>
    <mergeCell ref="A6:C6"/>
    <mergeCell ref="A10:C10"/>
    <mergeCell ref="A18:A19"/>
    <mergeCell ref="A20:B20"/>
    <mergeCell ref="A23:C23"/>
    <mergeCell ref="A28:C28"/>
    <mergeCell ref="A37:C37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65"/>
  <sheetViews>
    <sheetView showGridLines="0" topLeftCell="A39" zoomScaleNormal="100" workbookViewId="0">
      <selection activeCell="C41" sqref="C41:C43"/>
    </sheetView>
  </sheetViews>
  <sheetFormatPr defaultColWidth="9.1796875" defaultRowHeight="13" x14ac:dyDescent="0.3"/>
  <cols>
    <col min="1" max="1" width="17.26953125" style="5" bestFit="1" customWidth="1"/>
    <col min="2" max="2" width="72.1796875" style="5" customWidth="1"/>
    <col min="3" max="3" width="20.26953125" style="5" bestFit="1" customWidth="1"/>
    <col min="4" max="4" width="15.26953125" style="5" bestFit="1" customWidth="1"/>
    <col min="5" max="5" width="14.7265625" style="5" customWidth="1"/>
    <col min="6" max="6" width="12" style="5" customWidth="1"/>
    <col min="7" max="7" width="15.1796875" style="5" customWidth="1"/>
    <col min="8" max="16384" width="9.1796875" style="5"/>
  </cols>
  <sheetData>
    <row r="1" spans="1:3" x14ac:dyDescent="0.3">
      <c r="A1" s="366" t="s">
        <v>59</v>
      </c>
      <c r="B1" s="366"/>
      <c r="C1" s="366"/>
    </row>
    <row r="2" spans="1:3" x14ac:dyDescent="0.3">
      <c r="A2" s="367" t="s">
        <v>146</v>
      </c>
      <c r="B2" s="367"/>
      <c r="C2" s="367"/>
    </row>
    <row r="3" spans="1:3" x14ac:dyDescent="0.3">
      <c r="A3" s="37"/>
      <c r="B3" s="37"/>
      <c r="C3" s="37"/>
    </row>
    <row r="4" spans="1:3" x14ac:dyDescent="0.3">
      <c r="A4" s="368" t="s">
        <v>420</v>
      </c>
      <c r="B4" s="368"/>
      <c r="C4" s="368"/>
    </row>
    <row r="5" spans="1:3" x14ac:dyDescent="0.3">
      <c r="A5" s="369" t="s">
        <v>147</v>
      </c>
      <c r="B5" s="369"/>
      <c r="C5" s="369"/>
    </row>
    <row r="6" spans="1:3" x14ac:dyDescent="0.3">
      <c r="A6" s="370" t="s">
        <v>148</v>
      </c>
      <c r="B6" s="370"/>
      <c r="C6" s="370"/>
    </row>
    <row r="10" spans="1:3" x14ac:dyDescent="0.3">
      <c r="A10" s="362" t="s">
        <v>60</v>
      </c>
      <c r="B10" s="362"/>
      <c r="C10" s="362"/>
    </row>
    <row r="11" spans="1:3" x14ac:dyDescent="0.3">
      <c r="A11" s="14" t="s">
        <v>9</v>
      </c>
      <c r="B11" s="13" t="s">
        <v>61</v>
      </c>
      <c r="C11" s="6" t="s">
        <v>149</v>
      </c>
    </row>
    <row r="12" spans="1:3" x14ac:dyDescent="0.3">
      <c r="A12" s="14" t="s">
        <v>10</v>
      </c>
      <c r="B12" s="13" t="s">
        <v>62</v>
      </c>
      <c r="C12" s="7" t="s">
        <v>382</v>
      </c>
    </row>
    <row r="13" spans="1:3" ht="15.65" customHeight="1" x14ac:dyDescent="0.3">
      <c r="A13" s="14" t="s">
        <v>11</v>
      </c>
      <c r="B13" s="13" t="s">
        <v>63</v>
      </c>
      <c r="C13" s="21" t="s">
        <v>151</v>
      </c>
    </row>
    <row r="14" spans="1:3" x14ac:dyDescent="0.3">
      <c r="A14" s="14" t="s">
        <v>12</v>
      </c>
      <c r="B14" s="13" t="s">
        <v>64</v>
      </c>
      <c r="C14" s="8">
        <v>12</v>
      </c>
    </row>
    <row r="17" spans="1:4" x14ac:dyDescent="0.3">
      <c r="A17" s="68" t="s">
        <v>110</v>
      </c>
      <c r="B17" s="68" t="s">
        <v>111</v>
      </c>
      <c r="C17" s="68" t="s">
        <v>112</v>
      </c>
    </row>
    <row r="18" spans="1:4" x14ac:dyDescent="0.3">
      <c r="A18" s="363" t="s">
        <v>113</v>
      </c>
      <c r="B18" s="69" t="s">
        <v>114</v>
      </c>
      <c r="C18" s="70">
        <v>2325.67</v>
      </c>
    </row>
    <row r="19" spans="1:4" x14ac:dyDescent="0.3">
      <c r="A19" s="363"/>
      <c r="B19" s="71" t="s">
        <v>115</v>
      </c>
      <c r="C19" s="72">
        <v>283.41000000000003</v>
      </c>
    </row>
    <row r="20" spans="1:4" x14ac:dyDescent="0.3">
      <c r="A20" s="363"/>
      <c r="B20" s="71" t="s">
        <v>116</v>
      </c>
      <c r="C20" s="72">
        <v>13.16</v>
      </c>
    </row>
    <row r="21" spans="1:4" x14ac:dyDescent="0.3">
      <c r="A21" s="364"/>
      <c r="B21" s="364"/>
      <c r="C21" s="74">
        <f>SUM(C18:C20)</f>
        <v>2622.24</v>
      </c>
    </row>
    <row r="24" spans="1:4" x14ac:dyDescent="0.3">
      <c r="A24" s="365" t="s">
        <v>118</v>
      </c>
      <c r="B24" s="365"/>
      <c r="C24" s="365"/>
    </row>
    <row r="25" spans="1:4" ht="36" x14ac:dyDescent="0.3">
      <c r="A25" s="75" t="s">
        <v>110</v>
      </c>
      <c r="B25" s="75" t="s">
        <v>119</v>
      </c>
      <c r="C25" s="76" t="s">
        <v>120</v>
      </c>
    </row>
    <row r="26" spans="1:4" x14ac:dyDescent="0.3">
      <c r="A26" s="77" t="s">
        <v>121</v>
      </c>
      <c r="B26" s="78" t="s">
        <v>122</v>
      </c>
      <c r="C26" s="79">
        <f>C21</f>
        <v>2622.24</v>
      </c>
    </row>
    <row r="28" spans="1:4" ht="15" customHeight="1" x14ac:dyDescent="0.3"/>
    <row r="29" spans="1:4" ht="15" customHeight="1" x14ac:dyDescent="0.3">
      <c r="A29" s="362" t="s">
        <v>65</v>
      </c>
      <c r="B29" s="362"/>
      <c r="C29" s="362"/>
    </row>
    <row r="30" spans="1:4" ht="15" customHeight="1" x14ac:dyDescent="0.3">
      <c r="A30" s="14">
        <v>1</v>
      </c>
      <c r="B30" s="10" t="s">
        <v>66</v>
      </c>
      <c r="C30" s="44" t="s">
        <v>123</v>
      </c>
    </row>
    <row r="31" spans="1:4" ht="15" customHeight="1" x14ac:dyDescent="0.3">
      <c r="A31" s="14">
        <v>2</v>
      </c>
      <c r="B31" s="10" t="s">
        <v>67</v>
      </c>
      <c r="C31" s="22" t="s">
        <v>124</v>
      </c>
    </row>
    <row r="32" spans="1:4" ht="15" customHeight="1" x14ac:dyDescent="0.3">
      <c r="A32" s="14">
        <v>3</v>
      </c>
      <c r="B32" s="11" t="s">
        <v>153</v>
      </c>
      <c r="C32" s="23">
        <v>1403.85</v>
      </c>
      <c r="D32" s="51"/>
    </row>
    <row r="33" spans="1:3" ht="15" customHeight="1" x14ac:dyDescent="0.3">
      <c r="A33" s="14">
        <v>4</v>
      </c>
      <c r="B33" s="10" t="s">
        <v>68</v>
      </c>
      <c r="C33" s="9" t="s">
        <v>154</v>
      </c>
    </row>
    <row r="34" spans="1:3" ht="15" customHeight="1" x14ac:dyDescent="0.3">
      <c r="A34" s="14">
        <v>5</v>
      </c>
      <c r="B34" s="10" t="s">
        <v>69</v>
      </c>
      <c r="C34" s="12">
        <v>44927</v>
      </c>
    </row>
    <row r="37" spans="1:3" ht="13.5" thickBot="1" x14ac:dyDescent="0.35"/>
    <row r="38" spans="1:3" ht="16" thickBot="1" x14ac:dyDescent="0.35">
      <c r="A38" s="387" t="s">
        <v>6</v>
      </c>
      <c r="B38" s="388"/>
      <c r="C38" s="389"/>
    </row>
    <row r="40" spans="1:3" x14ac:dyDescent="0.3">
      <c r="A40" s="39">
        <v>1</v>
      </c>
      <c r="B40" s="39" t="s">
        <v>7</v>
      </c>
      <c r="C40" s="39" t="s">
        <v>8</v>
      </c>
    </row>
    <row r="41" spans="1:3" x14ac:dyDescent="0.3">
      <c r="A41" s="14" t="s">
        <v>9</v>
      </c>
      <c r="B41" s="25" t="s">
        <v>156</v>
      </c>
      <c r="C41" s="52">
        <f>C32</f>
        <v>1403.85</v>
      </c>
    </row>
    <row r="42" spans="1:3" ht="26" x14ac:dyDescent="0.3">
      <c r="A42" s="14" t="s">
        <v>10</v>
      </c>
      <c r="B42" s="25" t="s">
        <v>437</v>
      </c>
      <c r="C42" s="112">
        <f>(1412/100)*30</f>
        <v>423.59999999999997</v>
      </c>
    </row>
    <row r="43" spans="1:3" x14ac:dyDescent="0.3">
      <c r="A43" s="14" t="s">
        <v>11</v>
      </c>
      <c r="B43" s="25" t="s">
        <v>157</v>
      </c>
      <c r="C43" s="52">
        <v>54.31</v>
      </c>
    </row>
    <row r="44" spans="1:3" x14ac:dyDescent="0.3">
      <c r="A44" s="392" t="s">
        <v>0</v>
      </c>
      <c r="B44" s="393"/>
      <c r="C44" s="54">
        <f>SUM(C41:C43)</f>
        <v>1881.7599999999998</v>
      </c>
    </row>
    <row r="47" spans="1:3" x14ac:dyDescent="0.3">
      <c r="A47" s="394" t="s">
        <v>16</v>
      </c>
      <c r="B47" s="394"/>
      <c r="C47" s="394"/>
    </row>
    <row r="48" spans="1:3" x14ac:dyDescent="0.3">
      <c r="A48" s="15"/>
    </row>
    <row r="49" spans="1:5" x14ac:dyDescent="0.3">
      <c r="A49" s="390" t="s">
        <v>17</v>
      </c>
      <c r="B49" s="390"/>
      <c r="C49" s="390"/>
    </row>
    <row r="51" spans="1:5" x14ac:dyDescent="0.3">
      <c r="A51" s="39" t="s">
        <v>18</v>
      </c>
      <c r="B51" s="39" t="s">
        <v>19</v>
      </c>
      <c r="C51" s="39" t="s">
        <v>8</v>
      </c>
    </row>
    <row r="52" spans="1:5" x14ac:dyDescent="0.3">
      <c r="A52" s="14" t="s">
        <v>9</v>
      </c>
      <c r="B52" s="25" t="s">
        <v>84</v>
      </c>
      <c r="C52" s="52">
        <f>C44/12</f>
        <v>156.8133333333333</v>
      </c>
    </row>
    <row r="53" spans="1:5" x14ac:dyDescent="0.3">
      <c r="A53" s="14" t="s">
        <v>10</v>
      </c>
      <c r="B53" s="25" t="s">
        <v>85</v>
      </c>
      <c r="C53" s="52">
        <f>(C44/100)*12.1</f>
        <v>227.69295999999997</v>
      </c>
    </row>
    <row r="54" spans="1:5" x14ac:dyDescent="0.3">
      <c r="A54" s="374" t="s">
        <v>0</v>
      </c>
      <c r="B54" s="374"/>
      <c r="C54" s="54">
        <f>SUM(C52:C53)</f>
        <v>384.50629333333325</v>
      </c>
    </row>
    <row r="57" spans="1:5" ht="32.25" customHeight="1" x14ac:dyDescent="0.3">
      <c r="A57" s="396" t="s">
        <v>20</v>
      </c>
      <c r="B57" s="396"/>
      <c r="C57" s="396"/>
      <c r="D57" s="396"/>
    </row>
    <row r="59" spans="1:5" x14ac:dyDescent="0.3">
      <c r="A59" s="39" t="s">
        <v>21</v>
      </c>
      <c r="B59" s="39" t="s">
        <v>22</v>
      </c>
      <c r="C59" s="39" t="s">
        <v>23</v>
      </c>
      <c r="D59" s="39" t="s">
        <v>8</v>
      </c>
    </row>
    <row r="60" spans="1:5" x14ac:dyDescent="0.3">
      <c r="A60" s="14" t="s">
        <v>9</v>
      </c>
      <c r="B60" s="25" t="s">
        <v>88</v>
      </c>
      <c r="C60" s="33">
        <v>0.2</v>
      </c>
      <c r="D60" s="52">
        <f>(C44+C54)*C60</f>
        <v>453.25325866666662</v>
      </c>
    </row>
    <row r="61" spans="1:5" x14ac:dyDescent="0.3">
      <c r="A61" s="14" t="s">
        <v>10</v>
      </c>
      <c r="B61" s="25" t="s">
        <v>94</v>
      </c>
      <c r="C61" s="33">
        <v>2.5000000000000001E-2</v>
      </c>
      <c r="D61" s="52">
        <f>(C44+C54)*C61</f>
        <v>56.656657333333328</v>
      </c>
    </row>
    <row r="62" spans="1:5" x14ac:dyDescent="0.3">
      <c r="A62" s="14" t="s">
        <v>11</v>
      </c>
      <c r="B62" s="25" t="s">
        <v>93</v>
      </c>
      <c r="C62" s="34">
        <v>0.03</v>
      </c>
      <c r="D62" s="52">
        <f>(C44+C54)*C62</f>
        <v>67.987988799999997</v>
      </c>
      <c r="E62" s="38" t="s">
        <v>73</v>
      </c>
    </row>
    <row r="63" spans="1:5" x14ac:dyDescent="0.3">
      <c r="A63" s="14" t="s">
        <v>12</v>
      </c>
      <c r="B63" s="25" t="s">
        <v>89</v>
      </c>
      <c r="C63" s="33">
        <v>1.4999999999999999E-2</v>
      </c>
      <c r="D63" s="52">
        <f>(C44+C54)*C63</f>
        <v>33.993994399999998</v>
      </c>
    </row>
    <row r="64" spans="1:5" x14ac:dyDescent="0.3">
      <c r="A64" s="14" t="s">
        <v>13</v>
      </c>
      <c r="B64" s="25" t="s">
        <v>90</v>
      </c>
      <c r="C64" s="33">
        <v>0.01</v>
      </c>
      <c r="D64" s="52">
        <f>(C44+C54)*C64</f>
        <v>22.662662933333333</v>
      </c>
    </row>
    <row r="65" spans="1:5" x14ac:dyDescent="0.3">
      <c r="A65" s="14" t="s">
        <v>14</v>
      </c>
      <c r="B65" s="25" t="s">
        <v>91</v>
      </c>
      <c r="C65" s="33">
        <v>6.0000000000000001E-3</v>
      </c>
      <c r="D65" s="52">
        <f>(C44+C44)*C65</f>
        <v>22.581119999999999</v>
      </c>
    </row>
    <row r="66" spans="1:5" x14ac:dyDescent="0.3">
      <c r="A66" s="14" t="s">
        <v>15</v>
      </c>
      <c r="B66" s="25" t="s">
        <v>92</v>
      </c>
      <c r="C66" s="33">
        <v>2E-3</v>
      </c>
      <c r="D66" s="52">
        <f>(C44+C54)*C66</f>
        <v>4.5325325866666661</v>
      </c>
    </row>
    <row r="67" spans="1:5" x14ac:dyDescent="0.3">
      <c r="A67" s="397" t="s">
        <v>50</v>
      </c>
      <c r="B67" s="397"/>
      <c r="C67" s="35">
        <f>SUM(C60:C66)</f>
        <v>0.28800000000000003</v>
      </c>
      <c r="D67" s="53">
        <f>SUM(D60:D66)</f>
        <v>661.66821472000004</v>
      </c>
    </row>
    <row r="68" spans="1:5" x14ac:dyDescent="0.3">
      <c r="A68" s="14" t="s">
        <v>24</v>
      </c>
      <c r="B68" s="25" t="s">
        <v>95</v>
      </c>
      <c r="C68" s="33">
        <v>0.08</v>
      </c>
      <c r="D68" s="52">
        <f>(C44+C54)*C68</f>
        <v>181.30130346666667</v>
      </c>
    </row>
    <row r="69" spans="1:5" x14ac:dyDescent="0.3">
      <c r="A69" s="374" t="s">
        <v>25</v>
      </c>
      <c r="B69" s="374"/>
      <c r="C69" s="36">
        <f>SUM(C67:C68)</f>
        <v>0.36800000000000005</v>
      </c>
      <c r="D69" s="54">
        <f>SUM(D67:D68)</f>
        <v>842.96951818666673</v>
      </c>
    </row>
    <row r="72" spans="1:5" x14ac:dyDescent="0.3">
      <c r="A72" s="390" t="s">
        <v>26</v>
      </c>
      <c r="B72" s="390"/>
      <c r="C72" s="390"/>
    </row>
    <row r="74" spans="1:5" x14ac:dyDescent="0.3">
      <c r="A74" s="39" t="s">
        <v>27</v>
      </c>
      <c r="B74" s="39" t="s">
        <v>28</v>
      </c>
      <c r="C74" s="39" t="s">
        <v>8</v>
      </c>
    </row>
    <row r="75" spans="1:5" x14ac:dyDescent="0.3">
      <c r="A75" s="14" t="s">
        <v>9</v>
      </c>
      <c r="B75" s="25" t="s">
        <v>385</v>
      </c>
      <c r="C75" s="64">
        <v>0</v>
      </c>
      <c r="D75" s="244"/>
      <c r="E75" s="20"/>
    </row>
    <row r="76" spans="1:5" x14ac:dyDescent="0.3">
      <c r="A76" s="14" t="s">
        <v>10</v>
      </c>
      <c r="B76" s="25" t="s">
        <v>159</v>
      </c>
      <c r="C76" s="52">
        <f>(19.9*22)-(437.8/100)*5</f>
        <v>415.90999999999997</v>
      </c>
      <c r="D76" s="17"/>
    </row>
    <row r="77" spans="1:5" x14ac:dyDescent="0.3">
      <c r="A77" s="14" t="s">
        <v>11</v>
      </c>
      <c r="B77" s="1" t="s">
        <v>158</v>
      </c>
      <c r="C77" s="83">
        <v>49</v>
      </c>
    </row>
    <row r="78" spans="1:5" x14ac:dyDescent="0.3">
      <c r="A78" s="14" t="s">
        <v>12</v>
      </c>
      <c r="B78" s="25" t="s">
        <v>155</v>
      </c>
      <c r="C78" s="52">
        <v>140.61000000000001</v>
      </c>
    </row>
    <row r="79" spans="1:5" x14ac:dyDescent="0.3">
      <c r="A79" s="374" t="s">
        <v>0</v>
      </c>
      <c r="B79" s="374"/>
      <c r="C79" s="54">
        <f>SUM(C75:C78)</f>
        <v>605.52</v>
      </c>
    </row>
    <row r="82" spans="1:3" x14ac:dyDescent="0.3">
      <c r="A82" s="390" t="s">
        <v>29</v>
      </c>
      <c r="B82" s="390"/>
      <c r="C82" s="390"/>
    </row>
    <row r="84" spans="1:3" x14ac:dyDescent="0.3">
      <c r="A84" s="39">
        <v>2</v>
      </c>
      <c r="B84" s="39" t="s">
        <v>30</v>
      </c>
      <c r="C84" s="39" t="s">
        <v>8</v>
      </c>
    </row>
    <row r="85" spans="1:3" x14ac:dyDescent="0.3">
      <c r="A85" s="14" t="s">
        <v>18</v>
      </c>
      <c r="B85" s="25" t="s">
        <v>19</v>
      </c>
      <c r="C85" s="55">
        <f>C54</f>
        <v>384.50629333333325</v>
      </c>
    </row>
    <row r="86" spans="1:3" x14ac:dyDescent="0.3">
      <c r="A86" s="14" t="s">
        <v>21</v>
      </c>
      <c r="B86" s="25" t="s">
        <v>22</v>
      </c>
      <c r="C86" s="55">
        <f>D69</f>
        <v>842.96951818666673</v>
      </c>
    </row>
    <row r="87" spans="1:3" x14ac:dyDescent="0.3">
      <c r="A87" s="14" t="s">
        <v>27</v>
      </c>
      <c r="B87" s="25" t="s">
        <v>28</v>
      </c>
      <c r="C87" s="55">
        <f>C79</f>
        <v>605.52</v>
      </c>
    </row>
    <row r="88" spans="1:3" x14ac:dyDescent="0.3">
      <c r="A88" s="374" t="s">
        <v>0</v>
      </c>
      <c r="B88" s="374"/>
      <c r="C88" s="56">
        <f>SUM(C85:C87)</f>
        <v>1832.99581152</v>
      </c>
    </row>
    <row r="89" spans="1:3" x14ac:dyDescent="0.3">
      <c r="A89" s="16"/>
    </row>
    <row r="90" spans="1:3" ht="13.5" thickBot="1" x14ac:dyDescent="0.35"/>
    <row r="91" spans="1:3" ht="13.5" thickBot="1" x14ac:dyDescent="0.35">
      <c r="A91" s="398" t="s">
        <v>31</v>
      </c>
      <c r="B91" s="399"/>
      <c r="C91" s="400"/>
    </row>
    <row r="93" spans="1:3" x14ac:dyDescent="0.3">
      <c r="A93" s="39">
        <v>3</v>
      </c>
      <c r="B93" s="39" t="s">
        <v>32</v>
      </c>
      <c r="C93" s="39" t="s">
        <v>8</v>
      </c>
    </row>
    <row r="94" spans="1:3" x14ac:dyDescent="0.3">
      <c r="A94" s="14" t="s">
        <v>9</v>
      </c>
      <c r="B94" s="31" t="s">
        <v>71</v>
      </c>
      <c r="C94" s="52">
        <f>(C44/100)*1.81</f>
        <v>34.059855999999996</v>
      </c>
    </row>
    <row r="95" spans="1:3" x14ac:dyDescent="0.3">
      <c r="A95" s="14" t="s">
        <v>10</v>
      </c>
      <c r="B95" s="31" t="s">
        <v>72</v>
      </c>
      <c r="C95" s="52">
        <f>(C44/100)*0.14</f>
        <v>2.6344639999999999</v>
      </c>
    </row>
    <row r="96" spans="1:3" ht="26" x14ac:dyDescent="0.3">
      <c r="A96" s="14" t="s">
        <v>11</v>
      </c>
      <c r="B96" s="31" t="s">
        <v>75</v>
      </c>
      <c r="C96" s="52">
        <f>(C44/100)*4.05</f>
        <v>76.211279999999988</v>
      </c>
    </row>
    <row r="97" spans="1:4" x14ac:dyDescent="0.3">
      <c r="A97" s="401" t="s">
        <v>51</v>
      </c>
      <c r="B97" s="402"/>
      <c r="C97" s="54">
        <f>SUM(C94:C96)</f>
        <v>112.90559999999999</v>
      </c>
    </row>
    <row r="98" spans="1:4" ht="32.15" customHeight="1" x14ac:dyDescent="0.3">
      <c r="A98" s="14" t="s">
        <v>12</v>
      </c>
      <c r="B98" s="32" t="s">
        <v>76</v>
      </c>
      <c r="C98" s="57">
        <f>(C44/100)*0.194</f>
        <v>3.6506143999999998</v>
      </c>
    </row>
    <row r="99" spans="1:4" ht="26" x14ac:dyDescent="0.3">
      <c r="A99" s="14" t="s">
        <v>13</v>
      </c>
      <c r="B99" s="67" t="s">
        <v>77</v>
      </c>
      <c r="C99" s="57">
        <f>(C44/100)*0.7</f>
        <v>13.172319999999999</v>
      </c>
      <c r="D99" s="45"/>
    </row>
    <row r="100" spans="1:4" ht="26" x14ac:dyDescent="0.3">
      <c r="A100" s="42" t="s">
        <v>14</v>
      </c>
      <c r="B100" s="46" t="s">
        <v>78</v>
      </c>
      <c r="C100" s="66">
        <f>(C44/100)*0.45</f>
        <v>8.4679199999999994</v>
      </c>
    </row>
    <row r="101" spans="1:4" x14ac:dyDescent="0.3">
      <c r="A101" s="401" t="s">
        <v>52</v>
      </c>
      <c r="B101" s="403"/>
      <c r="C101" s="54">
        <f>SUM(C98:C100)</f>
        <v>25.290854399999997</v>
      </c>
    </row>
    <row r="102" spans="1:4" x14ac:dyDescent="0.3">
      <c r="A102" s="395" t="s">
        <v>53</v>
      </c>
      <c r="B102" s="395"/>
      <c r="C102" s="65">
        <f>C97+C101</f>
        <v>138.19645439999999</v>
      </c>
    </row>
    <row r="104" spans="1:4" ht="13.5" thickBot="1" x14ac:dyDescent="0.35"/>
    <row r="105" spans="1:4" ht="16" thickBot="1" x14ac:dyDescent="0.35">
      <c r="A105" s="387" t="s">
        <v>33</v>
      </c>
      <c r="B105" s="388"/>
      <c r="C105" s="389"/>
    </row>
    <row r="107" spans="1:4" x14ac:dyDescent="0.3">
      <c r="A107" s="390" t="s">
        <v>34</v>
      </c>
      <c r="B107" s="390"/>
      <c r="C107" s="390"/>
    </row>
    <row r="108" spans="1:4" x14ac:dyDescent="0.3">
      <c r="A108" s="15"/>
    </row>
    <row r="109" spans="1:4" x14ac:dyDescent="0.3">
      <c r="A109" s="39" t="s">
        <v>35</v>
      </c>
      <c r="B109" s="43" t="s">
        <v>36</v>
      </c>
      <c r="C109" s="39" t="s">
        <v>8</v>
      </c>
    </row>
    <row r="110" spans="1:4" ht="26" x14ac:dyDescent="0.3">
      <c r="A110" s="42" t="s">
        <v>9</v>
      </c>
      <c r="B110" s="46" t="s">
        <v>79</v>
      </c>
      <c r="C110" s="58">
        <f>(C44/100)*0.95</f>
        <v>17.876719999999999</v>
      </c>
      <c r="D110" s="20"/>
    </row>
    <row r="111" spans="1:4" ht="26" x14ac:dyDescent="0.3">
      <c r="A111" s="42" t="s">
        <v>10</v>
      </c>
      <c r="B111" s="46" t="s">
        <v>80</v>
      </c>
      <c r="C111" s="58">
        <f>(C44/100)*4.17</f>
        <v>78.469391999999999</v>
      </c>
      <c r="D111" s="19"/>
    </row>
    <row r="112" spans="1:4" x14ac:dyDescent="0.3">
      <c r="A112" s="42" t="s">
        <v>11</v>
      </c>
      <c r="B112" s="47" t="s">
        <v>81</v>
      </c>
      <c r="C112" s="58">
        <f>(C44/100)*0.1</f>
        <v>1.8817599999999999</v>
      </c>
    </row>
    <row r="113" spans="1:3" ht="26" x14ac:dyDescent="0.3">
      <c r="A113" s="42" t="s">
        <v>12</v>
      </c>
      <c r="B113" s="47" t="s">
        <v>82</v>
      </c>
      <c r="C113" s="58">
        <f>(C44/100)*0.63</f>
        <v>11.855087999999999</v>
      </c>
    </row>
    <row r="114" spans="1:3" ht="26" x14ac:dyDescent="0.3">
      <c r="A114" s="42" t="s">
        <v>13</v>
      </c>
      <c r="B114" s="47" t="s">
        <v>83</v>
      </c>
      <c r="C114" s="58">
        <f>(C44/100)*0.02</f>
        <v>0.37635199999999996</v>
      </c>
    </row>
    <row r="115" spans="1:3" ht="26" x14ac:dyDescent="0.3">
      <c r="A115" s="42" t="s">
        <v>14</v>
      </c>
      <c r="B115" s="47" t="s">
        <v>96</v>
      </c>
      <c r="C115" s="58">
        <f>(C44/100)*9.68</f>
        <v>182.15436799999998</v>
      </c>
    </row>
    <row r="116" spans="1:3" x14ac:dyDescent="0.3">
      <c r="A116" s="374" t="s">
        <v>25</v>
      </c>
      <c r="B116" s="391"/>
      <c r="C116" s="56">
        <f>SUM(C110:C115)</f>
        <v>292.61367999999999</v>
      </c>
    </row>
    <row r="119" spans="1:3" x14ac:dyDescent="0.3">
      <c r="A119" s="390" t="s">
        <v>37</v>
      </c>
      <c r="B119" s="390"/>
      <c r="C119" s="390"/>
    </row>
    <row r="120" spans="1:3" x14ac:dyDescent="0.3">
      <c r="A120" s="15"/>
    </row>
    <row r="121" spans="1:3" x14ac:dyDescent="0.3">
      <c r="A121" s="39">
        <v>4</v>
      </c>
      <c r="B121" s="40" t="s">
        <v>38</v>
      </c>
      <c r="C121" s="39" t="s">
        <v>8</v>
      </c>
    </row>
    <row r="122" spans="1:3" x14ac:dyDescent="0.3">
      <c r="A122" s="14" t="s">
        <v>35</v>
      </c>
      <c r="B122" s="25" t="s">
        <v>36</v>
      </c>
      <c r="C122" s="55">
        <f>C116</f>
        <v>292.61367999999999</v>
      </c>
    </row>
    <row r="123" spans="1:3" x14ac:dyDescent="0.3">
      <c r="A123" s="374" t="s">
        <v>0</v>
      </c>
      <c r="B123" s="374"/>
      <c r="C123" s="56">
        <f>SUM(C122:C122)</f>
        <v>292.61367999999999</v>
      </c>
    </row>
    <row r="125" spans="1:3" ht="13.5" thickBot="1" x14ac:dyDescent="0.35"/>
    <row r="126" spans="1:3" ht="16" thickBot="1" x14ac:dyDescent="0.35">
      <c r="A126" s="387" t="s">
        <v>39</v>
      </c>
      <c r="B126" s="388"/>
      <c r="C126" s="389"/>
    </row>
    <row r="128" spans="1:3" x14ac:dyDescent="0.3">
      <c r="A128" s="39">
        <v>5</v>
      </c>
      <c r="B128" s="24" t="s">
        <v>1</v>
      </c>
      <c r="C128" s="39" t="s">
        <v>8</v>
      </c>
    </row>
    <row r="129" spans="1:5" x14ac:dyDescent="0.3">
      <c r="A129" s="14" t="s">
        <v>9</v>
      </c>
      <c r="B129" s="25" t="s">
        <v>40</v>
      </c>
      <c r="C129" s="29">
        <f>UNIFORMES!F10</f>
        <v>53.034166666666664</v>
      </c>
    </row>
    <row r="130" spans="1:5" x14ac:dyDescent="0.3">
      <c r="A130" s="14" t="s">
        <v>10</v>
      </c>
      <c r="B130" s="25" t="s">
        <v>41</v>
      </c>
      <c r="C130" s="29">
        <f>MATERIAIS!F112</f>
        <v>578.28666666666686</v>
      </c>
    </row>
    <row r="131" spans="1:5" x14ac:dyDescent="0.3">
      <c r="A131" s="14" t="s">
        <v>11</v>
      </c>
      <c r="B131" s="25" t="s">
        <v>125</v>
      </c>
      <c r="C131" s="29">
        <f>UTENSÍLIOS!F123</f>
        <v>81.307916666666685</v>
      </c>
    </row>
    <row r="132" spans="1:5" x14ac:dyDescent="0.3">
      <c r="A132" s="14" t="s">
        <v>12</v>
      </c>
      <c r="B132" s="25" t="s">
        <v>70</v>
      </c>
      <c r="C132" s="29">
        <f>'EQUIPAMENTOS '!F43</f>
        <v>19.315333333333331</v>
      </c>
    </row>
    <row r="133" spans="1:5" x14ac:dyDescent="0.3">
      <c r="A133" s="374" t="s">
        <v>25</v>
      </c>
      <c r="B133" s="374"/>
      <c r="C133" s="30">
        <f>SUM(C129:C132)</f>
        <v>731.94408333333354</v>
      </c>
    </row>
    <row r="135" spans="1:5" ht="13.5" thickBot="1" x14ac:dyDescent="0.35"/>
    <row r="136" spans="1:5" ht="16" thickBot="1" x14ac:dyDescent="0.35">
      <c r="A136" s="387" t="s">
        <v>42</v>
      </c>
      <c r="B136" s="388"/>
      <c r="C136" s="388"/>
      <c r="D136" s="389"/>
    </row>
    <row r="138" spans="1:5" x14ac:dyDescent="0.3">
      <c r="A138" s="39">
        <v>6</v>
      </c>
      <c r="B138" s="24" t="s">
        <v>2</v>
      </c>
      <c r="C138" s="39" t="s">
        <v>23</v>
      </c>
      <c r="D138" s="39" t="s">
        <v>8</v>
      </c>
    </row>
    <row r="139" spans="1:5" x14ac:dyDescent="0.3">
      <c r="A139" s="14" t="s">
        <v>9</v>
      </c>
      <c r="B139" s="25" t="s">
        <v>3</v>
      </c>
      <c r="C139" s="26">
        <v>0.06</v>
      </c>
      <c r="D139" s="55">
        <f>(C44+C88+C102+C123+C133)*C139</f>
        <v>292.65060175520006</v>
      </c>
    </row>
    <row r="140" spans="1:5" x14ac:dyDescent="0.3">
      <c r="A140" s="14" t="s">
        <v>10</v>
      </c>
      <c r="B140" s="25" t="s">
        <v>5</v>
      </c>
      <c r="C140" s="26">
        <v>6.7900000000000002E-2</v>
      </c>
      <c r="D140" s="55">
        <f>(C44+C88+C102+C123+C133)*C140</f>
        <v>331.18293098630141</v>
      </c>
    </row>
    <row r="141" spans="1:5" x14ac:dyDescent="0.3">
      <c r="A141" s="14" t="s">
        <v>11</v>
      </c>
      <c r="B141" s="25" t="s">
        <v>4</v>
      </c>
      <c r="C141" s="26"/>
      <c r="D141" s="55"/>
    </row>
    <row r="142" spans="1:5" x14ac:dyDescent="0.3">
      <c r="A142" s="14"/>
      <c r="B142" s="25" t="s">
        <v>48</v>
      </c>
      <c r="C142" s="41">
        <v>1.6500000000000001E-2</v>
      </c>
      <c r="D142" s="55">
        <f>(C44+C88+C102+C123+C133)*C142</f>
        <v>80.478915482680023</v>
      </c>
      <c r="E142" s="38" t="s">
        <v>74</v>
      </c>
    </row>
    <row r="143" spans="1:5" x14ac:dyDescent="0.3">
      <c r="A143" s="14"/>
      <c r="B143" s="25" t="s">
        <v>49</v>
      </c>
      <c r="C143" s="41">
        <v>7.5999999999999998E-2</v>
      </c>
      <c r="D143" s="55">
        <f>(C44+C88+C102+C123+C133)*C143</f>
        <v>370.69076222325339</v>
      </c>
      <c r="E143" s="38" t="s">
        <v>74</v>
      </c>
    </row>
    <row r="144" spans="1:5" x14ac:dyDescent="0.3">
      <c r="A144" s="14"/>
      <c r="B144" s="25" t="s">
        <v>43</v>
      </c>
      <c r="C144" s="26"/>
      <c r="D144" s="55"/>
    </row>
    <row r="145" spans="1:6" x14ac:dyDescent="0.3">
      <c r="A145" s="14"/>
      <c r="B145" s="25" t="s">
        <v>383</v>
      </c>
      <c r="C145" s="245">
        <v>0.05</v>
      </c>
      <c r="D145" s="243">
        <f>(C44+C88+C102+C123+C133)*C145</f>
        <v>243.87550146266673</v>
      </c>
    </row>
    <row r="146" spans="1:6" x14ac:dyDescent="0.3">
      <c r="A146" s="14"/>
      <c r="B146" s="25" t="s">
        <v>55</v>
      </c>
      <c r="C146" s="27">
        <f>SUM(C139:C145)</f>
        <v>0.27040000000000003</v>
      </c>
      <c r="D146" s="55">
        <f>(C44+C88+C102+C123+C133)*C146</f>
        <v>1318.8787119101019</v>
      </c>
      <c r="E146" s="18"/>
      <c r="F146" s="19"/>
    </row>
    <row r="147" spans="1:6" x14ac:dyDescent="0.3">
      <c r="A147" s="374" t="s">
        <v>25</v>
      </c>
      <c r="B147" s="374"/>
      <c r="C147" s="26"/>
      <c r="D147" s="56">
        <f>D146</f>
        <v>1318.8787119101019</v>
      </c>
    </row>
    <row r="149" spans="1:6" ht="13.5" thickBot="1" x14ac:dyDescent="0.35"/>
    <row r="150" spans="1:6" ht="16" thickBot="1" x14ac:dyDescent="0.35">
      <c r="A150" s="371" t="s">
        <v>44</v>
      </c>
      <c r="B150" s="372"/>
      <c r="C150" s="373"/>
    </row>
    <row r="152" spans="1:6" x14ac:dyDescent="0.3">
      <c r="A152" s="39"/>
      <c r="B152" s="39" t="s">
        <v>45</v>
      </c>
      <c r="C152" s="39" t="s">
        <v>8</v>
      </c>
    </row>
    <row r="153" spans="1:6" x14ac:dyDescent="0.3">
      <c r="A153" s="39" t="s">
        <v>9</v>
      </c>
      <c r="B153" s="25" t="s">
        <v>6</v>
      </c>
      <c r="C153" s="60">
        <f>C44</f>
        <v>1881.7599999999998</v>
      </c>
    </row>
    <row r="154" spans="1:6" x14ac:dyDescent="0.3">
      <c r="A154" s="39" t="s">
        <v>10</v>
      </c>
      <c r="B154" s="25" t="s">
        <v>16</v>
      </c>
      <c r="C154" s="60">
        <f>C88</f>
        <v>1832.99581152</v>
      </c>
    </row>
    <row r="155" spans="1:6" x14ac:dyDescent="0.3">
      <c r="A155" s="39" t="s">
        <v>11</v>
      </c>
      <c r="B155" s="25" t="s">
        <v>31</v>
      </c>
      <c r="C155" s="60">
        <f>C102</f>
        <v>138.19645439999999</v>
      </c>
    </row>
    <row r="156" spans="1:6" x14ac:dyDescent="0.3">
      <c r="A156" s="39" t="s">
        <v>12</v>
      </c>
      <c r="B156" s="28" t="s">
        <v>33</v>
      </c>
      <c r="C156" s="60">
        <f>C123</f>
        <v>292.61367999999999</v>
      </c>
    </row>
    <row r="157" spans="1:6" x14ac:dyDescent="0.3">
      <c r="A157" s="39" t="s">
        <v>13</v>
      </c>
      <c r="B157" s="25" t="s">
        <v>39</v>
      </c>
      <c r="C157" s="60">
        <f>C133</f>
        <v>731.94408333333354</v>
      </c>
    </row>
    <row r="158" spans="1:6" x14ac:dyDescent="0.3">
      <c r="A158" s="374" t="s">
        <v>46</v>
      </c>
      <c r="B158" s="374"/>
      <c r="C158" s="61">
        <f>SUM(C153:C157)</f>
        <v>4877.5100292533343</v>
      </c>
    </row>
    <row r="159" spans="1:6" x14ac:dyDescent="0.3">
      <c r="A159" s="39" t="s">
        <v>14</v>
      </c>
      <c r="B159" s="25" t="s">
        <v>47</v>
      </c>
      <c r="C159" s="60">
        <f>D147</f>
        <v>1318.8787119101019</v>
      </c>
    </row>
    <row r="160" spans="1:6" x14ac:dyDescent="0.3">
      <c r="A160" s="374" t="s">
        <v>160</v>
      </c>
      <c r="B160" s="374"/>
      <c r="C160" s="62">
        <f>C158+C159</f>
        <v>6196.388741163436</v>
      </c>
      <c r="D160" s="17"/>
    </row>
    <row r="161" spans="1:5" x14ac:dyDescent="0.3">
      <c r="A161" s="375" t="s">
        <v>56</v>
      </c>
      <c r="B161" s="376"/>
      <c r="C161" s="63">
        <f>12*C160</f>
        <v>74356.664893961235</v>
      </c>
      <c r="D161" s="17"/>
    </row>
    <row r="162" spans="1:5" x14ac:dyDescent="0.3">
      <c r="A162" s="385" t="s">
        <v>386</v>
      </c>
      <c r="B162" s="386"/>
      <c r="C162" s="113">
        <f>3*C161</f>
        <v>223069.99468188372</v>
      </c>
      <c r="D162" s="17"/>
    </row>
    <row r="163" spans="1:5" x14ac:dyDescent="0.3">
      <c r="A163" s="383" t="s">
        <v>142</v>
      </c>
      <c r="B163" s="384"/>
      <c r="C163" s="62">
        <f>2*C162</f>
        <v>446139.98936376744</v>
      </c>
      <c r="D163" s="17"/>
    </row>
    <row r="164" spans="1:5" s="50" customFormat="1" ht="13.5" thickBot="1" x14ac:dyDescent="0.35">
      <c r="A164" s="380" t="s">
        <v>97</v>
      </c>
      <c r="B164" s="381"/>
      <c r="C164" s="382"/>
      <c r="D164" s="48"/>
      <c r="E164" s="49"/>
    </row>
    <row r="165" spans="1:5" s="50" customFormat="1" ht="91.4" customHeight="1" thickBot="1" x14ac:dyDescent="0.35">
      <c r="A165" s="377" t="s">
        <v>86</v>
      </c>
      <c r="B165" s="378"/>
      <c r="C165" s="379"/>
    </row>
  </sheetData>
  <mergeCells count="43">
    <mergeCell ref="A165:C165"/>
    <mergeCell ref="A158:B158"/>
    <mergeCell ref="A160:B160"/>
    <mergeCell ref="A161:B161"/>
    <mergeCell ref="A162:B162"/>
    <mergeCell ref="A163:B163"/>
    <mergeCell ref="A164:C164"/>
    <mergeCell ref="A150:C150"/>
    <mergeCell ref="A101:B101"/>
    <mergeCell ref="A102:B102"/>
    <mergeCell ref="A105:C105"/>
    <mergeCell ref="A107:C107"/>
    <mergeCell ref="A116:B116"/>
    <mergeCell ref="A119:C119"/>
    <mergeCell ref="A123:B123"/>
    <mergeCell ref="A126:C126"/>
    <mergeCell ref="A133:B133"/>
    <mergeCell ref="A136:D136"/>
    <mergeCell ref="A147:B147"/>
    <mergeCell ref="A97:B97"/>
    <mergeCell ref="A47:C47"/>
    <mergeCell ref="A49:C49"/>
    <mergeCell ref="A54:B54"/>
    <mergeCell ref="A57:D57"/>
    <mergeCell ref="A67:B67"/>
    <mergeCell ref="A69:B69"/>
    <mergeCell ref="A72:C72"/>
    <mergeCell ref="A79:B79"/>
    <mergeCell ref="A82:C82"/>
    <mergeCell ref="A88:B88"/>
    <mergeCell ref="A91:C91"/>
    <mergeCell ref="A44:B44"/>
    <mergeCell ref="A1:C1"/>
    <mergeCell ref="A2:C2"/>
    <mergeCell ref="A4:C4"/>
    <mergeCell ref="A5:C5"/>
    <mergeCell ref="A6:C6"/>
    <mergeCell ref="A10:C10"/>
    <mergeCell ref="A18:A20"/>
    <mergeCell ref="A21:B21"/>
    <mergeCell ref="A24:C24"/>
    <mergeCell ref="A29:C29"/>
    <mergeCell ref="A38:C38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5"/>
  <sheetViews>
    <sheetView showGridLines="0" topLeftCell="A42" zoomScaleNormal="100" workbookViewId="0">
      <selection activeCell="C75" sqref="C75:C78"/>
    </sheetView>
  </sheetViews>
  <sheetFormatPr defaultColWidth="9.1796875" defaultRowHeight="13" x14ac:dyDescent="0.3"/>
  <cols>
    <col min="1" max="1" width="17.26953125" style="5" bestFit="1" customWidth="1"/>
    <col min="2" max="2" width="72.1796875" style="5" customWidth="1"/>
    <col min="3" max="3" width="20.26953125" style="5" bestFit="1" customWidth="1"/>
    <col min="4" max="4" width="15.26953125" style="5" bestFit="1" customWidth="1"/>
    <col min="5" max="5" width="14.7265625" style="5" customWidth="1"/>
    <col min="6" max="6" width="12" style="5" customWidth="1"/>
    <col min="7" max="7" width="15.1796875" style="5" customWidth="1"/>
    <col min="8" max="16384" width="9.1796875" style="5"/>
  </cols>
  <sheetData>
    <row r="1" spans="1:3" x14ac:dyDescent="0.3">
      <c r="A1" s="366" t="s">
        <v>59</v>
      </c>
      <c r="B1" s="366"/>
      <c r="C1" s="366"/>
    </row>
    <row r="2" spans="1:3" x14ac:dyDescent="0.3">
      <c r="A2" s="367" t="s">
        <v>146</v>
      </c>
      <c r="B2" s="367"/>
      <c r="C2" s="367"/>
    </row>
    <row r="3" spans="1:3" x14ac:dyDescent="0.3">
      <c r="A3" s="37"/>
      <c r="B3" s="37"/>
      <c r="C3" s="37"/>
    </row>
    <row r="4" spans="1:3" x14ac:dyDescent="0.3">
      <c r="A4" s="368" t="s">
        <v>420</v>
      </c>
      <c r="B4" s="368"/>
      <c r="C4" s="368"/>
    </row>
    <row r="5" spans="1:3" x14ac:dyDescent="0.3">
      <c r="A5" s="369" t="s">
        <v>147</v>
      </c>
      <c r="B5" s="369"/>
      <c r="C5" s="369"/>
    </row>
    <row r="6" spans="1:3" x14ac:dyDescent="0.3">
      <c r="A6" s="370" t="s">
        <v>148</v>
      </c>
      <c r="B6" s="370"/>
      <c r="C6" s="370"/>
    </row>
    <row r="10" spans="1:3" x14ac:dyDescent="0.3">
      <c r="A10" s="362" t="s">
        <v>60</v>
      </c>
      <c r="B10" s="362"/>
      <c r="C10" s="362"/>
    </row>
    <row r="11" spans="1:3" x14ac:dyDescent="0.3">
      <c r="A11" s="14" t="s">
        <v>9</v>
      </c>
      <c r="B11" s="13" t="s">
        <v>61</v>
      </c>
      <c r="C11" s="6" t="s">
        <v>149</v>
      </c>
    </row>
    <row r="12" spans="1:3" x14ac:dyDescent="0.3">
      <c r="A12" s="14" t="s">
        <v>10</v>
      </c>
      <c r="B12" s="13" t="s">
        <v>62</v>
      </c>
      <c r="C12" s="7" t="s">
        <v>387</v>
      </c>
    </row>
    <row r="13" spans="1:3" ht="15.65" customHeight="1" x14ac:dyDescent="0.3">
      <c r="A13" s="14" t="s">
        <v>11</v>
      </c>
      <c r="B13" s="13" t="s">
        <v>63</v>
      </c>
      <c r="C13" s="21" t="s">
        <v>151</v>
      </c>
    </row>
    <row r="14" spans="1:3" x14ac:dyDescent="0.3">
      <c r="A14" s="14" t="s">
        <v>12</v>
      </c>
      <c r="B14" s="13" t="s">
        <v>64</v>
      </c>
      <c r="C14" s="8">
        <v>12</v>
      </c>
    </row>
    <row r="17" spans="1:4" x14ac:dyDescent="0.3">
      <c r="A17" s="68" t="s">
        <v>110</v>
      </c>
      <c r="B17" s="68" t="s">
        <v>111</v>
      </c>
      <c r="C17" s="68" t="s">
        <v>112</v>
      </c>
    </row>
    <row r="18" spans="1:4" x14ac:dyDescent="0.3">
      <c r="A18" s="363" t="s">
        <v>113</v>
      </c>
      <c r="B18" s="69" t="s">
        <v>114</v>
      </c>
      <c r="C18" s="70">
        <v>877.5</v>
      </c>
    </row>
    <row r="19" spans="1:4" x14ac:dyDescent="0.3">
      <c r="A19" s="363"/>
      <c r="B19" s="71" t="s">
        <v>115</v>
      </c>
      <c r="C19" s="72">
        <v>1583.98</v>
      </c>
    </row>
    <row r="20" spans="1:4" x14ac:dyDescent="0.3">
      <c r="A20" s="363"/>
      <c r="B20" s="71" t="s">
        <v>116</v>
      </c>
      <c r="C20" s="72">
        <v>45.58</v>
      </c>
    </row>
    <row r="21" spans="1:4" x14ac:dyDescent="0.3">
      <c r="A21" s="364"/>
      <c r="B21" s="364"/>
      <c r="C21" s="74">
        <f>SUM(C18:C20)</f>
        <v>2507.06</v>
      </c>
    </row>
    <row r="24" spans="1:4" x14ac:dyDescent="0.3">
      <c r="A24" s="365" t="s">
        <v>118</v>
      </c>
      <c r="B24" s="365"/>
      <c r="C24" s="365"/>
    </row>
    <row r="25" spans="1:4" ht="36" x14ac:dyDescent="0.3">
      <c r="A25" s="75" t="s">
        <v>110</v>
      </c>
      <c r="B25" s="75" t="s">
        <v>119</v>
      </c>
      <c r="C25" s="76" t="s">
        <v>120</v>
      </c>
    </row>
    <row r="26" spans="1:4" x14ac:dyDescent="0.3">
      <c r="A26" s="77" t="s">
        <v>121</v>
      </c>
      <c r="B26" s="78" t="s">
        <v>122</v>
      </c>
      <c r="C26" s="79">
        <f>C21</f>
        <v>2507.06</v>
      </c>
    </row>
    <row r="28" spans="1:4" ht="15" customHeight="1" x14ac:dyDescent="0.3"/>
    <row r="29" spans="1:4" ht="15" customHeight="1" x14ac:dyDescent="0.3">
      <c r="A29" s="362" t="s">
        <v>65</v>
      </c>
      <c r="B29" s="362"/>
      <c r="C29" s="362"/>
    </row>
    <row r="30" spans="1:4" ht="15" customHeight="1" x14ac:dyDescent="0.3">
      <c r="A30" s="14">
        <v>1</v>
      </c>
      <c r="B30" s="10" t="s">
        <v>66</v>
      </c>
      <c r="C30" s="44" t="s">
        <v>123</v>
      </c>
    </row>
    <row r="31" spans="1:4" ht="15" customHeight="1" x14ac:dyDescent="0.3">
      <c r="A31" s="14">
        <v>2</v>
      </c>
      <c r="B31" s="10" t="s">
        <v>67</v>
      </c>
      <c r="C31" s="22" t="s">
        <v>124</v>
      </c>
    </row>
    <row r="32" spans="1:4" ht="15" customHeight="1" x14ac:dyDescent="0.3">
      <c r="A32" s="14">
        <v>3</v>
      </c>
      <c r="B32" s="11" t="s">
        <v>153</v>
      </c>
      <c r="C32" s="23">
        <v>1403.85</v>
      </c>
      <c r="D32" s="51"/>
    </row>
    <row r="33" spans="1:3" ht="15" customHeight="1" x14ac:dyDescent="0.3">
      <c r="A33" s="14">
        <v>4</v>
      </c>
      <c r="B33" s="10" t="s">
        <v>68</v>
      </c>
      <c r="C33" s="9" t="s">
        <v>154</v>
      </c>
    </row>
    <row r="34" spans="1:3" ht="15" customHeight="1" x14ac:dyDescent="0.3">
      <c r="A34" s="14">
        <v>5</v>
      </c>
      <c r="B34" s="10" t="s">
        <v>69</v>
      </c>
      <c r="C34" s="12">
        <v>44927</v>
      </c>
    </row>
    <row r="37" spans="1:3" ht="13.5" thickBot="1" x14ac:dyDescent="0.35"/>
    <row r="38" spans="1:3" ht="16" thickBot="1" x14ac:dyDescent="0.35">
      <c r="A38" s="387" t="s">
        <v>6</v>
      </c>
      <c r="B38" s="388"/>
      <c r="C38" s="389"/>
    </row>
    <row r="40" spans="1:3" x14ac:dyDescent="0.3">
      <c r="A40" s="39">
        <v>1</v>
      </c>
      <c r="B40" s="39" t="s">
        <v>7</v>
      </c>
      <c r="C40" s="39" t="s">
        <v>8</v>
      </c>
    </row>
    <row r="41" spans="1:3" x14ac:dyDescent="0.3">
      <c r="A41" s="14" t="s">
        <v>9</v>
      </c>
      <c r="B41" s="25" t="s">
        <v>156</v>
      </c>
      <c r="C41" s="52">
        <f>C32</f>
        <v>1403.85</v>
      </c>
    </row>
    <row r="42" spans="1:3" ht="26" x14ac:dyDescent="0.3">
      <c r="A42" s="14" t="s">
        <v>10</v>
      </c>
      <c r="B42" s="25" t="s">
        <v>437</v>
      </c>
      <c r="C42" s="112">
        <f>(1412/100)*30</f>
        <v>423.59999999999997</v>
      </c>
    </row>
    <row r="43" spans="1:3" x14ac:dyDescent="0.3">
      <c r="A43" s="14" t="s">
        <v>11</v>
      </c>
      <c r="B43" s="25" t="s">
        <v>157</v>
      </c>
      <c r="C43" s="52">
        <v>54.31</v>
      </c>
    </row>
    <row r="44" spans="1:3" x14ac:dyDescent="0.3">
      <c r="A44" s="392" t="s">
        <v>0</v>
      </c>
      <c r="B44" s="393"/>
      <c r="C44" s="54">
        <f>SUM(C41:C43)</f>
        <v>1881.7599999999998</v>
      </c>
    </row>
    <row r="47" spans="1:3" x14ac:dyDescent="0.3">
      <c r="A47" s="394" t="s">
        <v>16</v>
      </c>
      <c r="B47" s="394"/>
      <c r="C47" s="394"/>
    </row>
    <row r="48" spans="1:3" x14ac:dyDescent="0.3">
      <c r="A48" s="15"/>
    </row>
    <row r="49" spans="1:5" x14ac:dyDescent="0.3">
      <c r="A49" s="390" t="s">
        <v>17</v>
      </c>
      <c r="B49" s="390"/>
      <c r="C49" s="390"/>
    </row>
    <row r="51" spans="1:5" x14ac:dyDescent="0.3">
      <c r="A51" s="39" t="s">
        <v>18</v>
      </c>
      <c r="B51" s="39" t="s">
        <v>19</v>
      </c>
      <c r="C51" s="39" t="s">
        <v>8</v>
      </c>
    </row>
    <row r="52" spans="1:5" x14ac:dyDescent="0.3">
      <c r="A52" s="14" t="s">
        <v>9</v>
      </c>
      <c r="B52" s="25" t="s">
        <v>84</v>
      </c>
      <c r="C52" s="52">
        <f>C44/12</f>
        <v>156.8133333333333</v>
      </c>
    </row>
    <row r="53" spans="1:5" x14ac:dyDescent="0.3">
      <c r="A53" s="14" t="s">
        <v>10</v>
      </c>
      <c r="B53" s="25" t="s">
        <v>85</v>
      </c>
      <c r="C53" s="52">
        <f>(C44/100)*12.1</f>
        <v>227.69295999999997</v>
      </c>
    </row>
    <row r="54" spans="1:5" x14ac:dyDescent="0.3">
      <c r="A54" s="374" t="s">
        <v>0</v>
      </c>
      <c r="B54" s="374"/>
      <c r="C54" s="54">
        <f>SUM(C52:C53)</f>
        <v>384.50629333333325</v>
      </c>
    </row>
    <row r="57" spans="1:5" ht="32.25" customHeight="1" x14ac:dyDescent="0.3">
      <c r="A57" s="396" t="s">
        <v>20</v>
      </c>
      <c r="B57" s="396"/>
      <c r="C57" s="396"/>
      <c r="D57" s="396"/>
    </row>
    <row r="59" spans="1:5" x14ac:dyDescent="0.3">
      <c r="A59" s="39" t="s">
        <v>21</v>
      </c>
      <c r="B59" s="39" t="s">
        <v>22</v>
      </c>
      <c r="C59" s="39" t="s">
        <v>23</v>
      </c>
      <c r="D59" s="39" t="s">
        <v>8</v>
      </c>
    </row>
    <row r="60" spans="1:5" x14ac:dyDescent="0.3">
      <c r="A60" s="14" t="s">
        <v>9</v>
      </c>
      <c r="B60" s="25" t="s">
        <v>88</v>
      </c>
      <c r="C60" s="33">
        <v>0.2</v>
      </c>
      <c r="D60" s="52">
        <f>(C44+C54)*C60</f>
        <v>453.25325866666662</v>
      </c>
    </row>
    <row r="61" spans="1:5" x14ac:dyDescent="0.3">
      <c r="A61" s="14" t="s">
        <v>10</v>
      </c>
      <c r="B61" s="25" t="s">
        <v>94</v>
      </c>
      <c r="C61" s="33">
        <v>2.5000000000000001E-2</v>
      </c>
      <c r="D61" s="52">
        <f>(C44+C54)*C61</f>
        <v>56.656657333333328</v>
      </c>
    </row>
    <row r="62" spans="1:5" x14ac:dyDescent="0.3">
      <c r="A62" s="14" t="s">
        <v>11</v>
      </c>
      <c r="B62" s="25" t="s">
        <v>93</v>
      </c>
      <c r="C62" s="34">
        <v>0.03</v>
      </c>
      <c r="D62" s="52">
        <f>(C44+C54)*C62</f>
        <v>67.987988799999997</v>
      </c>
      <c r="E62" s="38" t="s">
        <v>73</v>
      </c>
    </row>
    <row r="63" spans="1:5" x14ac:dyDescent="0.3">
      <c r="A63" s="14" t="s">
        <v>12</v>
      </c>
      <c r="B63" s="25" t="s">
        <v>89</v>
      </c>
      <c r="C63" s="33">
        <v>1.4999999999999999E-2</v>
      </c>
      <c r="D63" s="52">
        <f>(C44+C54)*C63</f>
        <v>33.993994399999998</v>
      </c>
    </row>
    <row r="64" spans="1:5" x14ac:dyDescent="0.3">
      <c r="A64" s="14" t="s">
        <v>13</v>
      </c>
      <c r="B64" s="25" t="s">
        <v>90</v>
      </c>
      <c r="C64" s="33">
        <v>0.01</v>
      </c>
      <c r="D64" s="52">
        <f>(C44+C54)*C64</f>
        <v>22.662662933333333</v>
      </c>
    </row>
    <row r="65" spans="1:5" x14ac:dyDescent="0.3">
      <c r="A65" s="14" t="s">
        <v>14</v>
      </c>
      <c r="B65" s="25" t="s">
        <v>91</v>
      </c>
      <c r="C65" s="33">
        <v>6.0000000000000001E-3</v>
      </c>
      <c r="D65" s="52">
        <f>(C44+C44)*C65</f>
        <v>22.581119999999999</v>
      </c>
    </row>
    <row r="66" spans="1:5" x14ac:dyDescent="0.3">
      <c r="A66" s="14" t="s">
        <v>15</v>
      </c>
      <c r="B66" s="25" t="s">
        <v>92</v>
      </c>
      <c r="C66" s="33">
        <v>2E-3</v>
      </c>
      <c r="D66" s="52">
        <f>(C44+C54)*C66</f>
        <v>4.5325325866666661</v>
      </c>
    </row>
    <row r="67" spans="1:5" x14ac:dyDescent="0.3">
      <c r="A67" s="397" t="s">
        <v>50</v>
      </c>
      <c r="B67" s="397"/>
      <c r="C67" s="35">
        <f>SUM(C60:C66)</f>
        <v>0.28800000000000003</v>
      </c>
      <c r="D67" s="53">
        <f>SUM(D60:D66)</f>
        <v>661.66821472000004</v>
      </c>
    </row>
    <row r="68" spans="1:5" x14ac:dyDescent="0.3">
      <c r="A68" s="14" t="s">
        <v>24</v>
      </c>
      <c r="B68" s="25" t="s">
        <v>95</v>
      </c>
      <c r="C68" s="33">
        <v>0.08</v>
      </c>
      <c r="D68" s="52">
        <f>(C44+C54)*C68</f>
        <v>181.30130346666667</v>
      </c>
    </row>
    <row r="69" spans="1:5" x14ac:dyDescent="0.3">
      <c r="A69" s="374" t="s">
        <v>25</v>
      </c>
      <c r="B69" s="374"/>
      <c r="C69" s="36">
        <f>SUM(C67:C68)</f>
        <v>0.36800000000000005</v>
      </c>
      <c r="D69" s="54">
        <f>SUM(D67:D68)</f>
        <v>842.96951818666673</v>
      </c>
    </row>
    <row r="72" spans="1:5" x14ac:dyDescent="0.3">
      <c r="A72" s="390" t="s">
        <v>26</v>
      </c>
      <c r="B72" s="390"/>
      <c r="C72" s="390"/>
    </row>
    <row r="74" spans="1:5" x14ac:dyDescent="0.3">
      <c r="A74" s="39" t="s">
        <v>27</v>
      </c>
      <c r="B74" s="39" t="s">
        <v>28</v>
      </c>
      <c r="C74" s="39" t="s">
        <v>8</v>
      </c>
    </row>
    <row r="75" spans="1:5" x14ac:dyDescent="0.3">
      <c r="A75" s="14" t="s">
        <v>9</v>
      </c>
      <c r="B75" s="25" t="s">
        <v>389</v>
      </c>
      <c r="C75" s="64">
        <f>(4.1*2*22)-(C41/100)*6</f>
        <v>96.168999999999983</v>
      </c>
      <c r="D75" s="20"/>
      <c r="E75" s="20"/>
    </row>
    <row r="76" spans="1:5" x14ac:dyDescent="0.3">
      <c r="A76" s="14" t="s">
        <v>10</v>
      </c>
      <c r="B76" s="25" t="s">
        <v>159</v>
      </c>
      <c r="C76" s="52">
        <f>(19.9*22)-(437.8/100)*5</f>
        <v>415.90999999999997</v>
      </c>
      <c r="D76" s="17"/>
    </row>
    <row r="77" spans="1:5" x14ac:dyDescent="0.3">
      <c r="A77" s="14" t="s">
        <v>11</v>
      </c>
      <c r="B77" s="1" t="s">
        <v>158</v>
      </c>
      <c r="C77" s="83">
        <v>49</v>
      </c>
    </row>
    <row r="78" spans="1:5" x14ac:dyDescent="0.3">
      <c r="A78" s="14" t="s">
        <v>12</v>
      </c>
      <c r="B78" s="25" t="s">
        <v>155</v>
      </c>
      <c r="C78" s="52">
        <v>140.61000000000001</v>
      </c>
    </row>
    <row r="79" spans="1:5" x14ac:dyDescent="0.3">
      <c r="A79" s="374" t="s">
        <v>0</v>
      </c>
      <c r="B79" s="374"/>
      <c r="C79" s="54">
        <f>SUM(C75:C78)</f>
        <v>701.68899999999996</v>
      </c>
    </row>
    <row r="82" spans="1:3" x14ac:dyDescent="0.3">
      <c r="A82" s="390" t="s">
        <v>29</v>
      </c>
      <c r="B82" s="390"/>
      <c r="C82" s="390"/>
    </row>
    <row r="84" spans="1:3" x14ac:dyDescent="0.3">
      <c r="A84" s="39">
        <v>2</v>
      </c>
      <c r="B84" s="39" t="s">
        <v>30</v>
      </c>
      <c r="C84" s="39" t="s">
        <v>8</v>
      </c>
    </row>
    <row r="85" spans="1:3" x14ac:dyDescent="0.3">
      <c r="A85" s="14" t="s">
        <v>18</v>
      </c>
      <c r="B85" s="25" t="s">
        <v>19</v>
      </c>
      <c r="C85" s="55">
        <f>C54</f>
        <v>384.50629333333325</v>
      </c>
    </row>
    <row r="86" spans="1:3" x14ac:dyDescent="0.3">
      <c r="A86" s="14" t="s">
        <v>21</v>
      </c>
      <c r="B86" s="25" t="s">
        <v>22</v>
      </c>
      <c r="C86" s="55">
        <f>D69</f>
        <v>842.96951818666673</v>
      </c>
    </row>
    <row r="87" spans="1:3" x14ac:dyDescent="0.3">
      <c r="A87" s="14" t="s">
        <v>27</v>
      </c>
      <c r="B87" s="25" t="s">
        <v>28</v>
      </c>
      <c r="C87" s="55">
        <f>C79</f>
        <v>701.68899999999996</v>
      </c>
    </row>
    <row r="88" spans="1:3" x14ac:dyDescent="0.3">
      <c r="A88" s="374" t="s">
        <v>0</v>
      </c>
      <c r="B88" s="374"/>
      <c r="C88" s="56">
        <f>SUM(C85:C87)</f>
        <v>1929.1648115200001</v>
      </c>
    </row>
    <row r="89" spans="1:3" x14ac:dyDescent="0.3">
      <c r="A89" s="16"/>
    </row>
    <row r="90" spans="1:3" ht="13.5" thickBot="1" x14ac:dyDescent="0.35"/>
    <row r="91" spans="1:3" ht="13.5" thickBot="1" x14ac:dyDescent="0.35">
      <c r="A91" s="398" t="s">
        <v>31</v>
      </c>
      <c r="B91" s="399"/>
      <c r="C91" s="400"/>
    </row>
    <row r="93" spans="1:3" x14ac:dyDescent="0.3">
      <c r="A93" s="39">
        <v>3</v>
      </c>
      <c r="B93" s="39" t="s">
        <v>32</v>
      </c>
      <c r="C93" s="39" t="s">
        <v>8</v>
      </c>
    </row>
    <row r="94" spans="1:3" x14ac:dyDescent="0.3">
      <c r="A94" s="14" t="s">
        <v>9</v>
      </c>
      <c r="B94" s="31" t="s">
        <v>71</v>
      </c>
      <c r="C94" s="52">
        <f>(C44/100)*1.81</f>
        <v>34.059855999999996</v>
      </c>
    </row>
    <row r="95" spans="1:3" x14ac:dyDescent="0.3">
      <c r="A95" s="14" t="s">
        <v>10</v>
      </c>
      <c r="B95" s="31" t="s">
        <v>72</v>
      </c>
      <c r="C95" s="52">
        <f>(C44/100)*0.14</f>
        <v>2.6344639999999999</v>
      </c>
    </row>
    <row r="96" spans="1:3" ht="26" x14ac:dyDescent="0.3">
      <c r="A96" s="14" t="s">
        <v>11</v>
      </c>
      <c r="B96" s="31" t="s">
        <v>75</v>
      </c>
      <c r="C96" s="52">
        <f>(C44/100)*4.05</f>
        <v>76.211279999999988</v>
      </c>
    </row>
    <row r="97" spans="1:4" x14ac:dyDescent="0.3">
      <c r="A97" s="401" t="s">
        <v>51</v>
      </c>
      <c r="B97" s="402"/>
      <c r="C97" s="54">
        <f>SUM(C94:C96)</f>
        <v>112.90559999999999</v>
      </c>
    </row>
    <row r="98" spans="1:4" ht="32.15" customHeight="1" x14ac:dyDescent="0.3">
      <c r="A98" s="14" t="s">
        <v>12</v>
      </c>
      <c r="B98" s="32" t="s">
        <v>76</v>
      </c>
      <c r="C98" s="57">
        <f>(C44/100)*0.194</f>
        <v>3.6506143999999998</v>
      </c>
    </row>
    <row r="99" spans="1:4" ht="26" x14ac:dyDescent="0.3">
      <c r="A99" s="14" t="s">
        <v>13</v>
      </c>
      <c r="B99" s="67" t="s">
        <v>77</v>
      </c>
      <c r="C99" s="57">
        <f>(C44/100)*0.7</f>
        <v>13.172319999999999</v>
      </c>
      <c r="D99" s="45"/>
    </row>
    <row r="100" spans="1:4" ht="26" x14ac:dyDescent="0.3">
      <c r="A100" s="42" t="s">
        <v>14</v>
      </c>
      <c r="B100" s="46" t="s">
        <v>78</v>
      </c>
      <c r="C100" s="66">
        <f>(C44/100)*0.45</f>
        <v>8.4679199999999994</v>
      </c>
    </row>
    <row r="101" spans="1:4" x14ac:dyDescent="0.3">
      <c r="A101" s="401" t="s">
        <v>52</v>
      </c>
      <c r="B101" s="403"/>
      <c r="C101" s="54">
        <f>SUM(C98:C100)</f>
        <v>25.290854399999997</v>
      </c>
    </row>
    <row r="102" spans="1:4" x14ac:dyDescent="0.3">
      <c r="A102" s="395" t="s">
        <v>53</v>
      </c>
      <c r="B102" s="395"/>
      <c r="C102" s="65">
        <f>C97+C101</f>
        <v>138.19645439999999</v>
      </c>
    </row>
    <row r="104" spans="1:4" ht="13.5" thickBot="1" x14ac:dyDescent="0.35"/>
    <row r="105" spans="1:4" ht="16" thickBot="1" x14ac:dyDescent="0.35">
      <c r="A105" s="387" t="s">
        <v>33</v>
      </c>
      <c r="B105" s="388"/>
      <c r="C105" s="389"/>
    </row>
    <row r="107" spans="1:4" x14ac:dyDescent="0.3">
      <c r="A107" s="390" t="s">
        <v>34</v>
      </c>
      <c r="B107" s="390"/>
      <c r="C107" s="390"/>
    </row>
    <row r="108" spans="1:4" x14ac:dyDescent="0.3">
      <c r="A108" s="15"/>
    </row>
    <row r="109" spans="1:4" x14ac:dyDescent="0.3">
      <c r="A109" s="39" t="s">
        <v>35</v>
      </c>
      <c r="B109" s="43" t="s">
        <v>36</v>
      </c>
      <c r="C109" s="39" t="s">
        <v>8</v>
      </c>
    </row>
    <row r="110" spans="1:4" ht="26" x14ac:dyDescent="0.3">
      <c r="A110" s="42" t="s">
        <v>9</v>
      </c>
      <c r="B110" s="46" t="s">
        <v>79</v>
      </c>
      <c r="C110" s="58">
        <f>(C44/100)*0.95</f>
        <v>17.876719999999999</v>
      </c>
      <c r="D110" s="20"/>
    </row>
    <row r="111" spans="1:4" ht="26" x14ac:dyDescent="0.3">
      <c r="A111" s="42" t="s">
        <v>10</v>
      </c>
      <c r="B111" s="46" t="s">
        <v>80</v>
      </c>
      <c r="C111" s="58">
        <f>(C44/100)*4.17</f>
        <v>78.469391999999999</v>
      </c>
      <c r="D111" s="19"/>
    </row>
    <row r="112" spans="1:4" x14ac:dyDescent="0.3">
      <c r="A112" s="42" t="s">
        <v>11</v>
      </c>
      <c r="B112" s="47" t="s">
        <v>81</v>
      </c>
      <c r="C112" s="58">
        <f>(C44/100)*0.1</f>
        <v>1.8817599999999999</v>
      </c>
    </row>
    <row r="113" spans="1:3" ht="26" x14ac:dyDescent="0.3">
      <c r="A113" s="42" t="s">
        <v>12</v>
      </c>
      <c r="B113" s="47" t="s">
        <v>82</v>
      </c>
      <c r="C113" s="58">
        <f>(C44/100)*0.63</f>
        <v>11.855087999999999</v>
      </c>
    </row>
    <row r="114" spans="1:3" ht="26" x14ac:dyDescent="0.3">
      <c r="A114" s="42" t="s">
        <v>13</v>
      </c>
      <c r="B114" s="47" t="s">
        <v>83</v>
      </c>
      <c r="C114" s="58">
        <f>(C44/100)*0.02</f>
        <v>0.37635199999999996</v>
      </c>
    </row>
    <row r="115" spans="1:3" ht="26" x14ac:dyDescent="0.3">
      <c r="A115" s="42" t="s">
        <v>14</v>
      </c>
      <c r="B115" s="47" t="s">
        <v>96</v>
      </c>
      <c r="C115" s="58">
        <f>(C44/100)*9.68</f>
        <v>182.15436799999998</v>
      </c>
    </row>
    <row r="116" spans="1:3" x14ac:dyDescent="0.3">
      <c r="A116" s="374" t="s">
        <v>25</v>
      </c>
      <c r="B116" s="391"/>
      <c r="C116" s="56">
        <f>SUM(C110:C115)</f>
        <v>292.61367999999999</v>
      </c>
    </row>
    <row r="119" spans="1:3" x14ac:dyDescent="0.3">
      <c r="A119" s="390" t="s">
        <v>37</v>
      </c>
      <c r="B119" s="390"/>
      <c r="C119" s="390"/>
    </row>
    <row r="120" spans="1:3" x14ac:dyDescent="0.3">
      <c r="A120" s="15"/>
    </row>
    <row r="121" spans="1:3" x14ac:dyDescent="0.3">
      <c r="A121" s="39">
        <v>4</v>
      </c>
      <c r="B121" s="40" t="s">
        <v>38</v>
      </c>
      <c r="C121" s="39" t="s">
        <v>8</v>
      </c>
    </row>
    <row r="122" spans="1:3" x14ac:dyDescent="0.3">
      <c r="A122" s="14" t="s">
        <v>35</v>
      </c>
      <c r="B122" s="25" t="s">
        <v>36</v>
      </c>
      <c r="C122" s="55">
        <f>C116</f>
        <v>292.61367999999999</v>
      </c>
    </row>
    <row r="123" spans="1:3" x14ac:dyDescent="0.3">
      <c r="A123" s="374" t="s">
        <v>0</v>
      </c>
      <c r="B123" s="374"/>
      <c r="C123" s="56">
        <f>SUM(C122:C122)</f>
        <v>292.61367999999999</v>
      </c>
    </row>
    <row r="125" spans="1:3" ht="13.5" thickBot="1" x14ac:dyDescent="0.35"/>
    <row r="126" spans="1:3" ht="16" thickBot="1" x14ac:dyDescent="0.35">
      <c r="A126" s="387" t="s">
        <v>39</v>
      </c>
      <c r="B126" s="388"/>
      <c r="C126" s="389"/>
    </row>
    <row r="128" spans="1:3" x14ac:dyDescent="0.3">
      <c r="A128" s="39">
        <v>5</v>
      </c>
      <c r="B128" s="24" t="s">
        <v>1</v>
      </c>
      <c r="C128" s="39" t="s">
        <v>8</v>
      </c>
    </row>
    <row r="129" spans="1:5" x14ac:dyDescent="0.3">
      <c r="A129" s="14" t="s">
        <v>9</v>
      </c>
      <c r="B129" s="25" t="s">
        <v>40</v>
      </c>
      <c r="C129" s="29">
        <f>UNIFORMES!F10</f>
        <v>53.034166666666664</v>
      </c>
    </row>
    <row r="130" spans="1:5" x14ac:dyDescent="0.3">
      <c r="A130" s="14" t="s">
        <v>10</v>
      </c>
      <c r="B130" s="25" t="s">
        <v>41</v>
      </c>
      <c r="C130" s="29">
        <f>MATERIAIS!F139</f>
        <v>258.87</v>
      </c>
    </row>
    <row r="131" spans="1:5" x14ac:dyDescent="0.3">
      <c r="A131" s="14" t="s">
        <v>11</v>
      </c>
      <c r="B131" s="25" t="s">
        <v>125</v>
      </c>
      <c r="C131" s="29">
        <f>UTENSÍLIOS!F157</f>
        <v>64.188749999999999</v>
      </c>
    </row>
    <row r="132" spans="1:5" x14ac:dyDescent="0.3">
      <c r="A132" s="14" t="s">
        <v>12</v>
      </c>
      <c r="B132" s="25" t="s">
        <v>70</v>
      </c>
      <c r="C132" s="29">
        <f>'EQUIPAMENTOS '!F65</f>
        <v>19.315333333333331</v>
      </c>
    </row>
    <row r="133" spans="1:5" x14ac:dyDescent="0.3">
      <c r="A133" s="374" t="s">
        <v>25</v>
      </c>
      <c r="B133" s="374"/>
      <c r="C133" s="30">
        <f>SUM(C129:C132)</f>
        <v>395.40825000000007</v>
      </c>
    </row>
    <row r="135" spans="1:5" ht="13.5" thickBot="1" x14ac:dyDescent="0.35"/>
    <row r="136" spans="1:5" ht="16" thickBot="1" x14ac:dyDescent="0.35">
      <c r="A136" s="387" t="s">
        <v>42</v>
      </c>
      <c r="B136" s="388"/>
      <c r="C136" s="388"/>
      <c r="D136" s="389"/>
    </row>
    <row r="138" spans="1:5" x14ac:dyDescent="0.3">
      <c r="A138" s="39">
        <v>6</v>
      </c>
      <c r="B138" s="24" t="s">
        <v>2</v>
      </c>
      <c r="C138" s="39" t="s">
        <v>23</v>
      </c>
      <c r="D138" s="39" t="s">
        <v>8</v>
      </c>
    </row>
    <row r="139" spans="1:5" x14ac:dyDescent="0.3">
      <c r="A139" s="14" t="s">
        <v>9</v>
      </c>
      <c r="B139" s="25" t="s">
        <v>3</v>
      </c>
      <c r="C139" s="26">
        <v>0.06</v>
      </c>
      <c r="D139" s="55">
        <f>(C44+C88+C102+C123+C133)*C139</f>
        <v>278.22859175520006</v>
      </c>
    </row>
    <row r="140" spans="1:5" x14ac:dyDescent="0.3">
      <c r="A140" s="14" t="s">
        <v>10</v>
      </c>
      <c r="B140" s="25" t="s">
        <v>5</v>
      </c>
      <c r="C140" s="26">
        <v>6.7900000000000002E-2</v>
      </c>
      <c r="D140" s="55">
        <f>(C44+C88+C102+C123+C133)*C140</f>
        <v>314.86202300296804</v>
      </c>
    </row>
    <row r="141" spans="1:5" x14ac:dyDescent="0.3">
      <c r="A141" s="14" t="s">
        <v>11</v>
      </c>
      <c r="B141" s="25" t="s">
        <v>4</v>
      </c>
      <c r="C141" s="26"/>
      <c r="D141" s="55"/>
    </row>
    <row r="142" spans="1:5" x14ac:dyDescent="0.3">
      <c r="A142" s="14"/>
      <c r="B142" s="25" t="s">
        <v>48</v>
      </c>
      <c r="C142" s="41">
        <v>1.6500000000000001E-2</v>
      </c>
      <c r="D142" s="55">
        <f>(C44+C88+C102+C123+C133)*C142</f>
        <v>76.51286273268002</v>
      </c>
      <c r="E142" s="38" t="s">
        <v>74</v>
      </c>
    </row>
    <row r="143" spans="1:5" x14ac:dyDescent="0.3">
      <c r="A143" s="14"/>
      <c r="B143" s="25" t="s">
        <v>49</v>
      </c>
      <c r="C143" s="41">
        <v>7.5999999999999998E-2</v>
      </c>
      <c r="D143" s="55">
        <f>(C44+C88+C102+C123+C133)*C143</f>
        <v>352.42288288992006</v>
      </c>
      <c r="E143" s="38" t="s">
        <v>74</v>
      </c>
    </row>
    <row r="144" spans="1:5" x14ac:dyDescent="0.3">
      <c r="A144" s="14"/>
      <c r="B144" s="25" t="s">
        <v>43</v>
      </c>
      <c r="C144" s="26"/>
      <c r="D144" s="55"/>
    </row>
    <row r="145" spans="1:6" x14ac:dyDescent="0.3">
      <c r="A145" s="14"/>
      <c r="B145" s="25" t="s">
        <v>388</v>
      </c>
      <c r="C145" s="245">
        <v>0.05</v>
      </c>
      <c r="D145" s="243">
        <f>(C44+C88+C102+C123+C133)*C145</f>
        <v>231.85715979600005</v>
      </c>
    </row>
    <row r="146" spans="1:6" x14ac:dyDescent="0.3">
      <c r="A146" s="14"/>
      <c r="B146" s="25" t="s">
        <v>55</v>
      </c>
      <c r="C146" s="27">
        <f>SUM(C139:C145)</f>
        <v>0.27040000000000003</v>
      </c>
      <c r="D146" s="55">
        <f>(C44+C88+C102+C123+C133)*C146</f>
        <v>1253.8835201767683</v>
      </c>
      <c r="E146" s="18"/>
      <c r="F146" s="19"/>
    </row>
    <row r="147" spans="1:6" x14ac:dyDescent="0.3">
      <c r="A147" s="374" t="s">
        <v>25</v>
      </c>
      <c r="B147" s="374"/>
      <c r="C147" s="26"/>
      <c r="D147" s="56">
        <f>D146</f>
        <v>1253.8835201767683</v>
      </c>
    </row>
    <row r="149" spans="1:6" ht="13.5" thickBot="1" x14ac:dyDescent="0.35"/>
    <row r="150" spans="1:6" ht="16" thickBot="1" x14ac:dyDescent="0.35">
      <c r="A150" s="371" t="s">
        <v>44</v>
      </c>
      <c r="B150" s="372"/>
      <c r="C150" s="373"/>
    </row>
    <row r="152" spans="1:6" x14ac:dyDescent="0.3">
      <c r="A152" s="39"/>
      <c r="B152" s="39" t="s">
        <v>45</v>
      </c>
      <c r="C152" s="39" t="s">
        <v>8</v>
      </c>
    </row>
    <row r="153" spans="1:6" x14ac:dyDescent="0.3">
      <c r="A153" s="39" t="s">
        <v>9</v>
      </c>
      <c r="B153" s="25" t="s">
        <v>6</v>
      </c>
      <c r="C153" s="60">
        <f>C44</f>
        <v>1881.7599999999998</v>
      </c>
    </row>
    <row r="154" spans="1:6" x14ac:dyDescent="0.3">
      <c r="A154" s="39" t="s">
        <v>10</v>
      </c>
      <c r="B154" s="25" t="s">
        <v>16</v>
      </c>
      <c r="C154" s="60">
        <f>C88</f>
        <v>1929.1648115200001</v>
      </c>
    </row>
    <row r="155" spans="1:6" x14ac:dyDescent="0.3">
      <c r="A155" s="39" t="s">
        <v>11</v>
      </c>
      <c r="B155" s="25" t="s">
        <v>31</v>
      </c>
      <c r="C155" s="60">
        <f>C102</f>
        <v>138.19645439999999</v>
      </c>
    </row>
    <row r="156" spans="1:6" x14ac:dyDescent="0.3">
      <c r="A156" s="39" t="s">
        <v>12</v>
      </c>
      <c r="B156" s="28" t="s">
        <v>33</v>
      </c>
      <c r="C156" s="60">
        <f>C123</f>
        <v>292.61367999999999</v>
      </c>
    </row>
    <row r="157" spans="1:6" x14ac:dyDescent="0.3">
      <c r="A157" s="39" t="s">
        <v>13</v>
      </c>
      <c r="B157" s="25" t="s">
        <v>39</v>
      </c>
      <c r="C157" s="60">
        <f>C133</f>
        <v>395.40825000000007</v>
      </c>
    </row>
    <row r="158" spans="1:6" x14ac:dyDescent="0.3">
      <c r="A158" s="374" t="s">
        <v>46</v>
      </c>
      <c r="B158" s="374"/>
      <c r="C158" s="61">
        <f>SUM(C153:C157)</f>
        <v>4637.1431959200008</v>
      </c>
    </row>
    <row r="159" spans="1:6" x14ac:dyDescent="0.3">
      <c r="A159" s="39" t="s">
        <v>14</v>
      </c>
      <c r="B159" s="25" t="s">
        <v>47</v>
      </c>
      <c r="C159" s="60">
        <f>D147</f>
        <v>1253.8835201767683</v>
      </c>
    </row>
    <row r="160" spans="1:6" x14ac:dyDescent="0.3">
      <c r="A160" s="374" t="s">
        <v>160</v>
      </c>
      <c r="B160" s="374"/>
      <c r="C160" s="62">
        <f>C158+C159</f>
        <v>5891.0267160967687</v>
      </c>
      <c r="D160" s="17"/>
    </row>
    <row r="161" spans="1:5" x14ac:dyDescent="0.3">
      <c r="A161" s="375" t="s">
        <v>56</v>
      </c>
      <c r="B161" s="376"/>
      <c r="C161" s="63">
        <f>12*C160</f>
        <v>70692.320593161217</v>
      </c>
      <c r="D161" s="17"/>
    </row>
    <row r="162" spans="1:5" x14ac:dyDescent="0.3">
      <c r="A162" s="385" t="s">
        <v>386</v>
      </c>
      <c r="B162" s="386"/>
      <c r="C162" s="113">
        <f>3*C161</f>
        <v>212076.96177948365</v>
      </c>
      <c r="D162" s="17"/>
    </row>
    <row r="163" spans="1:5" x14ac:dyDescent="0.3">
      <c r="A163" s="383" t="s">
        <v>142</v>
      </c>
      <c r="B163" s="384"/>
      <c r="C163" s="62">
        <f>2*C162</f>
        <v>424153.9235589673</v>
      </c>
      <c r="D163" s="17"/>
    </row>
    <row r="164" spans="1:5" s="50" customFormat="1" ht="13.5" thickBot="1" x14ac:dyDescent="0.35">
      <c r="A164" s="380" t="s">
        <v>97</v>
      </c>
      <c r="B164" s="381"/>
      <c r="C164" s="382"/>
      <c r="D164" s="48"/>
      <c r="E164" s="49"/>
    </row>
    <row r="165" spans="1:5" s="50" customFormat="1" ht="91.4" customHeight="1" thickBot="1" x14ac:dyDescent="0.35">
      <c r="A165" s="377" t="s">
        <v>86</v>
      </c>
      <c r="B165" s="378"/>
      <c r="C165" s="379"/>
    </row>
  </sheetData>
  <mergeCells count="43">
    <mergeCell ref="A165:C165"/>
    <mergeCell ref="A158:B158"/>
    <mergeCell ref="A160:B160"/>
    <mergeCell ref="A161:B161"/>
    <mergeCell ref="A162:B162"/>
    <mergeCell ref="A163:B163"/>
    <mergeCell ref="A164:C164"/>
    <mergeCell ref="A150:C150"/>
    <mergeCell ref="A101:B101"/>
    <mergeCell ref="A102:B102"/>
    <mergeCell ref="A105:C105"/>
    <mergeCell ref="A107:C107"/>
    <mergeCell ref="A116:B116"/>
    <mergeCell ref="A119:C119"/>
    <mergeCell ref="A123:B123"/>
    <mergeCell ref="A126:C126"/>
    <mergeCell ref="A133:B133"/>
    <mergeCell ref="A136:D136"/>
    <mergeCell ref="A147:B147"/>
    <mergeCell ref="A97:B97"/>
    <mergeCell ref="A47:C47"/>
    <mergeCell ref="A49:C49"/>
    <mergeCell ref="A54:B54"/>
    <mergeCell ref="A57:D57"/>
    <mergeCell ref="A67:B67"/>
    <mergeCell ref="A69:B69"/>
    <mergeCell ref="A72:C72"/>
    <mergeCell ref="A79:B79"/>
    <mergeCell ref="A82:C82"/>
    <mergeCell ref="A88:B88"/>
    <mergeCell ref="A91:C91"/>
    <mergeCell ref="A44:B44"/>
    <mergeCell ref="A1:C1"/>
    <mergeCell ref="A2:C2"/>
    <mergeCell ref="A4:C4"/>
    <mergeCell ref="A5:C5"/>
    <mergeCell ref="A6:C6"/>
    <mergeCell ref="A10:C10"/>
    <mergeCell ref="A18:A20"/>
    <mergeCell ref="A21:B21"/>
    <mergeCell ref="A24:C24"/>
    <mergeCell ref="A29:C29"/>
    <mergeCell ref="A38:C38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RESUMO</vt:lpstr>
      <vt:lpstr>ITENS DE HIGIENE PESSOAL FO (2)</vt:lpstr>
      <vt:lpstr>ITENS DE HIGIENE PESSOAL FORA</vt:lpstr>
      <vt:lpstr>CUIABÁ</vt:lpstr>
      <vt:lpstr>CUIABÁ LÍDER</vt:lpstr>
      <vt:lpstr>POSTO GOIABEIRAS</vt:lpstr>
      <vt:lpstr>BASE GISE</vt:lpstr>
      <vt:lpstr>CÁCERES</vt:lpstr>
      <vt:lpstr>RONDONÓPOLIS</vt:lpstr>
      <vt:lpstr>SINOP</vt:lpstr>
      <vt:lpstr>BRG</vt:lpstr>
      <vt:lpstr>PONTES E LACERDA</vt:lpstr>
      <vt:lpstr>ÁREAS CONVERTIDAS</vt:lpstr>
      <vt:lpstr>UNIFORMES</vt:lpstr>
      <vt:lpstr>MATERIAIS</vt:lpstr>
      <vt:lpstr>UTENSÍLIOS</vt:lpstr>
      <vt:lpstr>EQUIPAMENTOS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Arcangela Silva Casagrande</dc:creator>
  <cp:lastModifiedBy>Eliezer Gentil de Souza</cp:lastModifiedBy>
  <cp:lastPrinted>2022-08-31T16:22:31Z</cp:lastPrinted>
  <dcterms:created xsi:type="dcterms:W3CDTF">2018-01-23T19:35:16Z</dcterms:created>
  <dcterms:modified xsi:type="dcterms:W3CDTF">2024-04-07T19:22:28Z</dcterms:modified>
</cp:coreProperties>
</file>