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EstaPastaDeTrabalho" defaultThemeVersion="166925"/>
  <mc:AlternateContent xmlns:mc="http://schemas.openxmlformats.org/markup-compatibility/2006">
    <mc:Choice Requires="x15">
      <x15ac:absPath xmlns:x15ac="http://schemas.microsoft.com/office/spreadsheetml/2010/11/ac" url="W:\1. L I C I T A Ç Ã O\1. PREGÃO\1.Eletrônico\2024\Publicado\90006 - TECNICOS DE LABORATÓRIO REMANESCENTES\"/>
    </mc:Choice>
  </mc:AlternateContent>
  <xr:revisionPtr revIDLastSave="0" documentId="8_{A0E93D40-9C1B-4425-B5E9-9AC9A586BB92}" xr6:coauthVersionLast="47" xr6:coauthVersionMax="47" xr10:uidLastSave="{00000000-0000-0000-0000-000000000000}"/>
  <bookViews>
    <workbookView xWindow="-110" yWindow="-110" windowWidth="19420" windowHeight="10420" xr2:uid="{39283099-A684-4516-9E42-1156C950E10A}"/>
  </bookViews>
  <sheets>
    <sheet name="RESUMO" sheetId="101" r:id="rId1"/>
    <sheet name="TEC. CONT. JUAZEIRO-BA" sheetId="103" r:id="rId2"/>
    <sheet name="TEC. MEIO AMB. SANTARÉM-PA" sheetId="109" r:id="rId3"/>
    <sheet name="TEC. QUÍM. DOU-MS" sheetId="104" r:id="rId4"/>
    <sheet name="MEC. DOU-MS" sheetId="112" r:id="rId5"/>
    <sheet name="MEC. PONTA PORÃ-MS" sheetId="110" r:id="rId6"/>
    <sheet name="MEC. DÍESEL PONTA PORÃ-MS" sheetId="111" r:id="rId7"/>
    <sheet name="MEC. GUAÍRA-PR" sheetId="62" r:id="rId8"/>
    <sheet name="MEC. DIESEL GUAÍRA-PR" sheetId="102" r:id="rId9"/>
    <sheet name="MEC. FOZ-PR" sheetId="107" r:id="rId10"/>
    <sheet name="MEC. DIESEL FOZ-PR" sheetId="108" r:id="rId11"/>
    <sheet name="TEC. QUÍM. FOZ-PR" sheetId="106"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01" l="1"/>
  <c r="I160" i="103"/>
  <c r="I159" i="103"/>
  <c r="I158" i="103"/>
  <c r="H149" i="103"/>
  <c r="I126" i="103"/>
  <c r="I162" i="103" s="1"/>
  <c r="I116" i="103"/>
  <c r="I115" i="103"/>
  <c r="I117" i="103" s="1"/>
  <c r="I160" i="109"/>
  <c r="I159" i="109"/>
  <c r="I158" i="109"/>
  <c r="H149" i="109"/>
  <c r="I126" i="109"/>
  <c r="I162" i="109" s="1"/>
  <c r="I116" i="109"/>
  <c r="I115" i="109"/>
  <c r="I117" i="109" s="1"/>
  <c r="I160" i="104"/>
  <c r="I159" i="104"/>
  <c r="I158" i="104"/>
  <c r="H149" i="104"/>
  <c r="I126" i="104"/>
  <c r="I162" i="104" s="1"/>
  <c r="I116" i="104"/>
  <c r="I115" i="104"/>
  <c r="I117" i="104" s="1"/>
  <c r="I160" i="112"/>
  <c r="I159" i="112"/>
  <c r="I158" i="112"/>
  <c r="H149" i="112"/>
  <c r="I126" i="112"/>
  <c r="I162" i="112" s="1"/>
  <c r="I116" i="112"/>
  <c r="I115" i="112"/>
  <c r="I117" i="112" s="1"/>
  <c r="I160" i="110"/>
  <c r="I159" i="110"/>
  <c r="I158" i="110"/>
  <c r="H149" i="110"/>
  <c r="I126" i="110"/>
  <c r="I162" i="110" s="1"/>
  <c r="I116" i="110"/>
  <c r="I115" i="110"/>
  <c r="I117" i="110" s="1"/>
  <c r="I160" i="111"/>
  <c r="I159" i="111"/>
  <c r="I158" i="111"/>
  <c r="H149" i="111"/>
  <c r="I126" i="111"/>
  <c r="I162" i="111" s="1"/>
  <c r="I116" i="111"/>
  <c r="I115" i="111"/>
  <c r="I117" i="111" s="1"/>
  <c r="I160" i="62"/>
  <c r="I159" i="62"/>
  <c r="I158" i="62"/>
  <c r="H149" i="62"/>
  <c r="I126" i="62"/>
  <c r="I162" i="62" s="1"/>
  <c r="I116" i="62"/>
  <c r="I117" i="62" s="1"/>
  <c r="I115" i="62"/>
  <c r="I160" i="102"/>
  <c r="I159" i="102"/>
  <c r="I158" i="102"/>
  <c r="H149" i="102"/>
  <c r="I126" i="102"/>
  <c r="I162" i="102" s="1"/>
  <c r="I116" i="102"/>
  <c r="I117" i="102" s="1"/>
  <c r="I115" i="102"/>
  <c r="I160" i="107"/>
  <c r="I159" i="107"/>
  <c r="I158" i="107"/>
  <c r="H149" i="107"/>
  <c r="I126" i="107"/>
  <c r="I162" i="107" s="1"/>
  <c r="I116" i="107"/>
  <c r="I117" i="107" s="1"/>
  <c r="I115" i="107"/>
  <c r="I160" i="108"/>
  <c r="I159" i="108"/>
  <c r="I158" i="108"/>
  <c r="H149" i="108"/>
  <c r="I126" i="108"/>
  <c r="I162" i="108" s="1"/>
  <c r="I116" i="108"/>
  <c r="I115" i="108"/>
  <c r="I117" i="108" s="1"/>
  <c r="I115" i="106"/>
  <c r="I160" i="106"/>
  <c r="H93" i="106"/>
  <c r="I103" i="106"/>
  <c r="I102" i="106"/>
  <c r="I101" i="106"/>
  <c r="I100" i="106"/>
  <c r="I99" i="106"/>
  <c r="I98" i="106"/>
  <c r="I103" i="108"/>
  <c r="I102" i="108"/>
  <c r="I101" i="108"/>
  <c r="I100" i="108"/>
  <c r="I99" i="108"/>
  <c r="I98" i="108"/>
  <c r="I104" i="108" s="1"/>
  <c r="I103" i="107"/>
  <c r="I102" i="107"/>
  <c r="I101" i="107"/>
  <c r="I100" i="107"/>
  <c r="I99" i="107"/>
  <c r="I98" i="107"/>
  <c r="I103" i="102"/>
  <c r="I102" i="102"/>
  <c r="I101" i="102"/>
  <c r="I100" i="102"/>
  <c r="I99" i="102"/>
  <c r="I98" i="102"/>
  <c r="I103" i="62"/>
  <c r="I102" i="62"/>
  <c r="I101" i="62"/>
  <c r="I100" i="62"/>
  <c r="I99" i="62"/>
  <c r="I98" i="62"/>
  <c r="I103" i="111"/>
  <c r="I102" i="111"/>
  <c r="I101" i="111"/>
  <c r="I100" i="111"/>
  <c r="I99" i="111"/>
  <c r="I98" i="111"/>
  <c r="I103" i="110"/>
  <c r="I102" i="110"/>
  <c r="I101" i="110"/>
  <c r="I100" i="110"/>
  <c r="I99" i="110"/>
  <c r="I98" i="110"/>
  <c r="I103" i="104"/>
  <c r="I102" i="104"/>
  <c r="I101" i="104"/>
  <c r="I100" i="104"/>
  <c r="I99" i="104"/>
  <c r="I98" i="104"/>
  <c r="I104" i="104" s="1"/>
  <c r="I103" i="109"/>
  <c r="I102" i="109"/>
  <c r="I101" i="109"/>
  <c r="I100" i="109"/>
  <c r="I99" i="109"/>
  <c r="I98" i="109"/>
  <c r="I103" i="103"/>
  <c r="I102" i="103"/>
  <c r="I101" i="103"/>
  <c r="I100" i="103"/>
  <c r="I99" i="103"/>
  <c r="I104" i="103" s="1"/>
  <c r="I98" i="103"/>
  <c r="I85" i="106"/>
  <c r="I84" i="106"/>
  <c r="I83" i="106"/>
  <c r="I82" i="106"/>
  <c r="I81" i="106"/>
  <c r="I80" i="106"/>
  <c r="I85" i="108"/>
  <c r="I84" i="108"/>
  <c r="I83" i="108"/>
  <c r="I82" i="108"/>
  <c r="I81" i="108"/>
  <c r="I80" i="108"/>
  <c r="I85" i="107"/>
  <c r="I84" i="107"/>
  <c r="I83" i="107"/>
  <c r="I82" i="107"/>
  <c r="I81" i="107"/>
  <c r="I80" i="107"/>
  <c r="I86" i="107" s="1"/>
  <c r="I85" i="102"/>
  <c r="I84" i="102"/>
  <c r="I83" i="102"/>
  <c r="I82" i="102"/>
  <c r="I81" i="102"/>
  <c r="I80" i="102"/>
  <c r="I86" i="102" s="1"/>
  <c r="I85" i="62"/>
  <c r="I84" i="62"/>
  <c r="I83" i="62"/>
  <c r="I82" i="62"/>
  <c r="I81" i="62"/>
  <c r="I80" i="62"/>
  <c r="I85" i="111"/>
  <c r="I84" i="111"/>
  <c r="I83" i="111"/>
  <c r="I82" i="111"/>
  <c r="I81" i="111"/>
  <c r="I80" i="111"/>
  <c r="I85" i="110"/>
  <c r="I84" i="110"/>
  <c r="I83" i="110"/>
  <c r="I82" i="110"/>
  <c r="I81" i="110"/>
  <c r="I80" i="110"/>
  <c r="I86" i="110" s="1"/>
  <c r="I85" i="112"/>
  <c r="I84" i="112"/>
  <c r="I83" i="112"/>
  <c r="I82" i="112"/>
  <c r="I81" i="112"/>
  <c r="I80" i="112"/>
  <c r="I86" i="112" s="1"/>
  <c r="I85" i="104"/>
  <c r="I84" i="104"/>
  <c r="I83" i="104"/>
  <c r="I82" i="104"/>
  <c r="I81" i="104"/>
  <c r="I80" i="104"/>
  <c r="I85" i="109"/>
  <c r="I84" i="109"/>
  <c r="I83" i="109"/>
  <c r="I82" i="109"/>
  <c r="I81" i="109"/>
  <c r="I80" i="109"/>
  <c r="I85" i="103"/>
  <c r="I84" i="103"/>
  <c r="I83" i="103"/>
  <c r="I82" i="103"/>
  <c r="I81" i="103"/>
  <c r="I80" i="103"/>
  <c r="I132" i="103" l="1"/>
  <c r="I161" i="103"/>
  <c r="I163" i="103" s="1"/>
  <c r="I132" i="109"/>
  <c r="I161" i="109"/>
  <c r="I163" i="109" s="1"/>
  <c r="I132" i="104"/>
  <c r="I161" i="104"/>
  <c r="I163" i="104" s="1"/>
  <c r="I132" i="112"/>
  <c r="I161" i="112"/>
  <c r="I163" i="112" s="1"/>
  <c r="I132" i="110"/>
  <c r="I161" i="110"/>
  <c r="I163" i="110"/>
  <c r="I132" i="111"/>
  <c r="I161" i="111"/>
  <c r="I163" i="111"/>
  <c r="I132" i="62"/>
  <c r="I161" i="62"/>
  <c r="I163" i="62"/>
  <c r="I132" i="102"/>
  <c r="I161" i="102"/>
  <c r="I163" i="102" s="1"/>
  <c r="I132" i="107"/>
  <c r="I161" i="107"/>
  <c r="I163" i="107"/>
  <c r="I132" i="108"/>
  <c r="I161" i="108"/>
  <c r="I163" i="108" s="1"/>
  <c r="I104" i="107"/>
  <c r="I104" i="102"/>
  <c r="I104" i="111"/>
  <c r="I86" i="109"/>
  <c r="I86" i="106"/>
  <c r="I104" i="106"/>
  <c r="I104" i="62"/>
  <c r="I104" i="110"/>
  <c r="I104" i="109"/>
  <c r="I86" i="108"/>
  <c r="I86" i="62"/>
  <c r="I86" i="111"/>
  <c r="I86" i="104"/>
  <c r="I86" i="103"/>
  <c r="I133" i="103" l="1"/>
  <c r="I134" i="103" s="1"/>
  <c r="I135" i="103" s="1"/>
  <c r="I133" i="109"/>
  <c r="I133" i="104"/>
  <c r="I133" i="112"/>
  <c r="I133" i="110"/>
  <c r="I133" i="111"/>
  <c r="I133" i="62"/>
  <c r="I133" i="102"/>
  <c r="I133" i="107"/>
  <c r="I133" i="108"/>
  <c r="I134" i="108" s="1"/>
  <c r="I135" i="108" s="1"/>
  <c r="I136" i="103" l="1"/>
  <c r="I134" i="109"/>
  <c r="I135" i="109" s="1"/>
  <c r="I134" i="104"/>
  <c r="I135" i="104" s="1"/>
  <c r="I136" i="104" s="1"/>
  <c r="I134" i="112"/>
  <c r="I135" i="112" s="1"/>
  <c r="I136" i="112" s="1"/>
  <c r="I134" i="110"/>
  <c r="I135" i="110" s="1"/>
  <c r="I134" i="111"/>
  <c r="I135" i="111" s="1"/>
  <c r="I134" i="62"/>
  <c r="I135" i="62" s="1"/>
  <c r="I136" i="62" s="1"/>
  <c r="I134" i="102"/>
  <c r="I135" i="102" s="1"/>
  <c r="I134" i="107"/>
  <c r="I135" i="107" s="1"/>
  <c r="I136" i="107" s="1"/>
  <c r="I136" i="108"/>
  <c r="I145" i="103" l="1"/>
  <c r="I140" i="103"/>
  <c r="I139" i="103"/>
  <c r="I136" i="109"/>
  <c r="I145" i="104"/>
  <c r="I140" i="104"/>
  <c r="I139" i="104"/>
  <c r="I146" i="104" s="1"/>
  <c r="I164" i="104" s="1"/>
  <c r="I165" i="104" s="1"/>
  <c r="I140" i="112"/>
  <c r="I139" i="112"/>
  <c r="I145" i="112"/>
  <c r="I136" i="110"/>
  <c r="I136" i="111"/>
  <c r="I140" i="62"/>
  <c r="I145" i="62"/>
  <c r="I139" i="62"/>
  <c r="I146" i="62" s="1"/>
  <c r="I164" i="62" s="1"/>
  <c r="I165" i="62" s="1"/>
  <c r="I136" i="102"/>
  <c r="I145" i="107"/>
  <c r="I140" i="107"/>
  <c r="I139" i="107"/>
  <c r="I145" i="108"/>
  <c r="I139" i="108"/>
  <c r="I140" i="108"/>
  <c r="I149" i="103" l="1"/>
  <c r="I146" i="103"/>
  <c r="I164" i="103" s="1"/>
  <c r="I165" i="103" s="1"/>
  <c r="I139" i="109"/>
  <c r="I145" i="109"/>
  <c r="I140" i="109"/>
  <c r="I149" i="104"/>
  <c r="I149" i="112"/>
  <c r="I146" i="112"/>
  <c r="I164" i="112" s="1"/>
  <c r="I165" i="112" s="1"/>
  <c r="I145" i="110"/>
  <c r="I140" i="110"/>
  <c r="I139" i="110"/>
  <c r="I145" i="111"/>
  <c r="I140" i="111"/>
  <c r="I139" i="111"/>
  <c r="I149" i="62"/>
  <c r="I145" i="102"/>
  <c r="I139" i="102"/>
  <c r="I140" i="102"/>
  <c r="I149" i="107"/>
  <c r="I146" i="107"/>
  <c r="I164" i="107" s="1"/>
  <c r="I165" i="107" s="1"/>
  <c r="I149" i="108"/>
  <c r="I146" i="108"/>
  <c r="I164" i="108" s="1"/>
  <c r="I165" i="108" s="1"/>
  <c r="I149" i="109" l="1"/>
  <c r="I146" i="109"/>
  <c r="I164" i="109" s="1"/>
  <c r="I165" i="109" s="1"/>
  <c r="I149" i="110"/>
  <c r="I146" i="110"/>
  <c r="I164" i="110" s="1"/>
  <c r="I165" i="110" s="1"/>
  <c r="I149" i="111"/>
  <c r="I146" i="111"/>
  <c r="I164" i="111" s="1"/>
  <c r="I165" i="111" s="1"/>
  <c r="I149" i="102"/>
  <c r="I146" i="102"/>
  <c r="I164" i="102" s="1"/>
  <c r="I165" i="102" s="1"/>
  <c r="I101" i="112" l="1"/>
  <c r="I102" i="112"/>
  <c r="I103" i="112"/>
  <c r="I100" i="112"/>
  <c r="I99" i="112"/>
  <c r="I98" i="112"/>
  <c r="I104" i="112" l="1"/>
  <c r="I59" i="112"/>
  <c r="I66" i="112" s="1"/>
  <c r="I74" i="112" s="1"/>
  <c r="H41" i="112"/>
  <c r="H46" i="112" s="1"/>
  <c r="H48" i="112" s="1"/>
  <c r="I23" i="112"/>
  <c r="I24" i="112" s="1"/>
  <c r="J82" i="112" l="1"/>
  <c r="J83" i="112"/>
  <c r="J80" i="112"/>
  <c r="J84" i="112"/>
  <c r="J85" i="112"/>
  <c r="J81" i="112"/>
  <c r="J100" i="112"/>
  <c r="J101" i="112"/>
  <c r="J99" i="112"/>
  <c r="J98" i="112"/>
  <c r="J102" i="112"/>
  <c r="J103" i="112"/>
  <c r="B93" i="112"/>
  <c r="I31" i="112"/>
  <c r="I32" i="112"/>
  <c r="J86" i="112" l="1"/>
  <c r="H93" i="112" s="1"/>
  <c r="I33" i="112"/>
  <c r="I72" i="112" s="1"/>
  <c r="I41" i="112" l="1"/>
  <c r="I45" i="112"/>
  <c r="I39" i="112"/>
  <c r="I44" i="112"/>
  <c r="I42" i="112"/>
  <c r="I40" i="112"/>
  <c r="I47" i="112"/>
  <c r="I43" i="112"/>
  <c r="I46" i="112" l="1"/>
  <c r="I48" i="112" s="1"/>
  <c r="I73" i="112" l="1"/>
  <c r="I75" i="112" s="1"/>
  <c r="E93" i="112" s="1"/>
  <c r="I93" i="112" s="1"/>
  <c r="J104" i="112" l="1"/>
  <c r="I59" i="111" l="1"/>
  <c r="I59" i="110"/>
  <c r="I59" i="106"/>
  <c r="I66" i="106" s="1"/>
  <c r="I74" i="106" s="1"/>
  <c r="I54" i="108"/>
  <c r="I66" i="108" s="1"/>
  <c r="I74" i="108" s="1"/>
  <c r="I54" i="107"/>
  <c r="I66" i="107" s="1"/>
  <c r="I74" i="107" s="1"/>
  <c r="I54" i="111"/>
  <c r="I54" i="110"/>
  <c r="I54" i="104"/>
  <c r="I66" i="104" s="1"/>
  <c r="I74" i="104" s="1"/>
  <c r="I54" i="103"/>
  <c r="I66" i="103" s="1"/>
  <c r="I74" i="103" s="1"/>
  <c r="I54" i="109"/>
  <c r="I60" i="109"/>
  <c r="I62" i="109" s="1"/>
  <c r="H41" i="111"/>
  <c r="H46" i="111" s="1"/>
  <c r="H48" i="111" s="1"/>
  <c r="I23" i="111"/>
  <c r="I24" i="111" s="1"/>
  <c r="H41" i="110"/>
  <c r="H46" i="110" s="1"/>
  <c r="H48" i="110" s="1"/>
  <c r="I23" i="110"/>
  <c r="I24" i="110" s="1"/>
  <c r="H41" i="109"/>
  <c r="H46" i="109" s="1"/>
  <c r="H48" i="109" s="1"/>
  <c r="I23" i="109"/>
  <c r="I24" i="109" s="1"/>
  <c r="H41" i="108"/>
  <c r="H46" i="108" s="1"/>
  <c r="H48" i="108" s="1"/>
  <c r="I23" i="108"/>
  <c r="I24" i="108" s="1"/>
  <c r="H41" i="107"/>
  <c r="H46" i="107" s="1"/>
  <c r="H48" i="107" s="1"/>
  <c r="I23" i="107"/>
  <c r="I24" i="107" s="1"/>
  <c r="H149" i="106"/>
  <c r="I126" i="106"/>
  <c r="I162" i="106" s="1"/>
  <c r="I116" i="106"/>
  <c r="H41" i="106"/>
  <c r="H46" i="106" s="1"/>
  <c r="H48" i="106" s="1"/>
  <c r="I23" i="106"/>
  <c r="I24" i="106" s="1"/>
  <c r="H41" i="104"/>
  <c r="H46" i="104" s="1"/>
  <c r="H48" i="104" s="1"/>
  <c r="I23" i="104"/>
  <c r="I24" i="104" s="1"/>
  <c r="H41" i="103"/>
  <c r="H46" i="103" s="1"/>
  <c r="H48" i="103" s="1"/>
  <c r="I23" i="103"/>
  <c r="I24" i="103" s="1"/>
  <c r="J82" i="108" l="1"/>
  <c r="J102" i="108"/>
  <c r="J83" i="108"/>
  <c r="J81" i="108"/>
  <c r="J98" i="108"/>
  <c r="J101" i="108"/>
  <c r="J85" i="108"/>
  <c r="J103" i="108"/>
  <c r="J99" i="108"/>
  <c r="J80" i="108"/>
  <c r="J100" i="108"/>
  <c r="J84" i="108"/>
  <c r="J82" i="107"/>
  <c r="J81" i="107"/>
  <c r="J85" i="107"/>
  <c r="J98" i="107"/>
  <c r="J103" i="107"/>
  <c r="J99" i="107"/>
  <c r="J101" i="107"/>
  <c r="J80" i="107"/>
  <c r="J86" i="107" s="1"/>
  <c r="H93" i="107" s="1"/>
  <c r="J102" i="107"/>
  <c r="J100" i="107"/>
  <c r="J84" i="107"/>
  <c r="J83" i="107"/>
  <c r="J81" i="111"/>
  <c r="J85" i="111"/>
  <c r="J80" i="111"/>
  <c r="J84" i="111"/>
  <c r="J83" i="111"/>
  <c r="J103" i="111"/>
  <c r="J101" i="111"/>
  <c r="J99" i="111"/>
  <c r="J102" i="111"/>
  <c r="J98" i="111"/>
  <c r="J82" i="111"/>
  <c r="J100" i="111"/>
  <c r="J99" i="110"/>
  <c r="J102" i="110"/>
  <c r="J103" i="110"/>
  <c r="J98" i="110"/>
  <c r="J83" i="110"/>
  <c r="J84" i="110"/>
  <c r="J85" i="110"/>
  <c r="J80" i="110"/>
  <c r="J86" i="110" s="1"/>
  <c r="H93" i="110" s="1"/>
  <c r="J100" i="110"/>
  <c r="J81" i="110"/>
  <c r="J82" i="110"/>
  <c r="J101" i="110"/>
  <c r="J81" i="104"/>
  <c r="J85" i="104"/>
  <c r="J80" i="104"/>
  <c r="J101" i="104"/>
  <c r="J84" i="104"/>
  <c r="J102" i="104"/>
  <c r="J103" i="104"/>
  <c r="J99" i="104"/>
  <c r="J98" i="104"/>
  <c r="J83" i="104"/>
  <c r="J100" i="104"/>
  <c r="J82" i="104"/>
  <c r="J103" i="109"/>
  <c r="J98" i="109"/>
  <c r="J85" i="109"/>
  <c r="J102" i="109"/>
  <c r="J99" i="109"/>
  <c r="J83" i="109"/>
  <c r="J81" i="109"/>
  <c r="J82" i="109"/>
  <c r="J101" i="109"/>
  <c r="J100" i="109"/>
  <c r="J84" i="109"/>
  <c r="J80" i="109"/>
  <c r="J103" i="103"/>
  <c r="J100" i="103"/>
  <c r="J99" i="103"/>
  <c r="J101" i="103"/>
  <c r="J102" i="103"/>
  <c r="J98" i="103"/>
  <c r="J103" i="106"/>
  <c r="J99" i="106"/>
  <c r="J98" i="106"/>
  <c r="J85" i="106"/>
  <c r="J80" i="106"/>
  <c r="J84" i="106"/>
  <c r="J81" i="106"/>
  <c r="J101" i="106"/>
  <c r="J82" i="106"/>
  <c r="J100" i="106"/>
  <c r="J83" i="106"/>
  <c r="J102" i="106"/>
  <c r="J82" i="103"/>
  <c r="J85" i="103"/>
  <c r="J81" i="103"/>
  <c r="J84" i="103"/>
  <c r="J80" i="103"/>
  <c r="J83" i="103"/>
  <c r="I66" i="111"/>
  <c r="I74" i="111" s="1"/>
  <c r="I66" i="109"/>
  <c r="I74" i="109" s="1"/>
  <c r="I66" i="110"/>
  <c r="I74" i="110" s="1"/>
  <c r="B93" i="111"/>
  <c r="I32" i="111"/>
  <c r="I31" i="111"/>
  <c r="I32" i="110"/>
  <c r="B93" i="110"/>
  <c r="I31" i="110"/>
  <c r="I31" i="109"/>
  <c r="I32" i="109"/>
  <c r="B93" i="109"/>
  <c r="B93" i="108"/>
  <c r="I32" i="108"/>
  <c r="I31" i="108"/>
  <c r="B93" i="107"/>
  <c r="I32" i="107"/>
  <c r="I31" i="107"/>
  <c r="I32" i="106"/>
  <c r="I158" i="106"/>
  <c r="B93" i="106"/>
  <c r="I31" i="106"/>
  <c r="B93" i="104"/>
  <c r="I32" i="104"/>
  <c r="I31" i="104"/>
  <c r="B93" i="103"/>
  <c r="I32" i="103"/>
  <c r="I31" i="103"/>
  <c r="J104" i="108" l="1"/>
  <c r="J86" i="108"/>
  <c r="H93" i="108" s="1"/>
  <c r="J104" i="107"/>
  <c r="J104" i="111"/>
  <c r="J86" i="111"/>
  <c r="H93" i="111" s="1"/>
  <c r="J104" i="110"/>
  <c r="J86" i="104"/>
  <c r="H93" i="104" s="1"/>
  <c r="J104" i="104"/>
  <c r="J86" i="109"/>
  <c r="H93" i="109" s="1"/>
  <c r="J104" i="109"/>
  <c r="J104" i="103"/>
  <c r="J86" i="106"/>
  <c r="J104" i="106"/>
  <c r="I33" i="106"/>
  <c r="I72" i="106" s="1"/>
  <c r="I33" i="104"/>
  <c r="I72" i="104" s="1"/>
  <c r="J86" i="103"/>
  <c r="H93" i="103" s="1"/>
  <c r="I33" i="108"/>
  <c r="I43" i="108" s="1"/>
  <c r="I33" i="103"/>
  <c r="I42" i="103" s="1"/>
  <c r="I33" i="111"/>
  <c r="I33" i="110"/>
  <c r="I33" i="109"/>
  <c r="I33" i="107"/>
  <c r="I41" i="104"/>
  <c r="I39" i="104"/>
  <c r="I43" i="104"/>
  <c r="I44" i="104"/>
  <c r="I47" i="104"/>
  <c r="I45" i="104"/>
  <c r="I40" i="104"/>
  <c r="I42" i="104" l="1"/>
  <c r="I40" i="106"/>
  <c r="I44" i="106"/>
  <c r="I43" i="106"/>
  <c r="I47" i="106"/>
  <c r="I42" i="106"/>
  <c r="I41" i="106"/>
  <c r="I39" i="106"/>
  <c r="I45" i="106"/>
  <c r="I44" i="108"/>
  <c r="I41" i="108"/>
  <c r="I45" i="108"/>
  <c r="I40" i="108"/>
  <c r="I46" i="104"/>
  <c r="I48" i="104" s="1"/>
  <c r="I72" i="108"/>
  <c r="I42" i="108"/>
  <c r="I47" i="108"/>
  <c r="I39" i="108"/>
  <c r="I43" i="103"/>
  <c r="I45" i="103"/>
  <c r="I40" i="103"/>
  <c r="I44" i="103"/>
  <c r="I72" i="103"/>
  <c r="I47" i="103"/>
  <c r="I39" i="103"/>
  <c r="I41" i="103"/>
  <c r="I72" i="111"/>
  <c r="I44" i="111"/>
  <c r="I39" i="111"/>
  <c r="I45" i="111"/>
  <c r="I40" i="111"/>
  <c r="I47" i="111"/>
  <c r="I41" i="111"/>
  <c r="I43" i="111"/>
  <c r="I42" i="111"/>
  <c r="I72" i="110"/>
  <c r="I42" i="110"/>
  <c r="I39" i="110"/>
  <c r="I43" i="110"/>
  <c r="I44" i="110"/>
  <c r="I41" i="110"/>
  <c r="I47" i="110"/>
  <c r="I45" i="110"/>
  <c r="I40" i="110"/>
  <c r="I47" i="109"/>
  <c r="I72" i="109"/>
  <c r="I40" i="109"/>
  <c r="I39" i="109"/>
  <c r="I41" i="109"/>
  <c r="I43" i="109"/>
  <c r="I44" i="109"/>
  <c r="I42" i="109"/>
  <c r="I45" i="109"/>
  <c r="I72" i="107"/>
  <c r="I43" i="107"/>
  <c r="I39" i="107"/>
  <c r="I45" i="107"/>
  <c r="I47" i="107"/>
  <c r="I42" i="107"/>
  <c r="I44" i="107"/>
  <c r="I41" i="107"/>
  <c r="I40" i="107"/>
  <c r="I46" i="106" l="1"/>
  <c r="I48" i="106" s="1"/>
  <c r="I73" i="106" s="1"/>
  <c r="I75" i="106" s="1"/>
  <c r="E93" i="106" s="1"/>
  <c r="I46" i="108"/>
  <c r="I48" i="108" s="1"/>
  <c r="I73" i="108" s="1"/>
  <c r="I75" i="108" s="1"/>
  <c r="E93" i="108" s="1"/>
  <c r="I93" i="108" s="1"/>
  <c r="I46" i="107"/>
  <c r="I48" i="107" s="1"/>
  <c r="I46" i="111"/>
  <c r="I48" i="111" s="1"/>
  <c r="I46" i="110"/>
  <c r="I48" i="110" s="1"/>
  <c r="I46" i="109"/>
  <c r="I48" i="109" s="1"/>
  <c r="I46" i="103"/>
  <c r="I48" i="103" s="1"/>
  <c r="I73" i="103" s="1"/>
  <c r="I75" i="103" s="1"/>
  <c r="E93" i="103" s="1"/>
  <c r="I93" i="103" s="1"/>
  <c r="I159" i="106"/>
  <c r="I73" i="104"/>
  <c r="I75" i="104" s="1"/>
  <c r="I93" i="106" l="1"/>
  <c r="I73" i="111"/>
  <c r="I75" i="111" s="1"/>
  <c r="I73" i="110"/>
  <c r="I75" i="110" s="1"/>
  <c r="I73" i="109"/>
  <c r="I75" i="109" s="1"/>
  <c r="I73" i="107"/>
  <c r="I75" i="107" s="1"/>
  <c r="E93" i="104"/>
  <c r="I93" i="104" s="1"/>
  <c r="E93" i="111" l="1"/>
  <c r="I93" i="111" s="1"/>
  <c r="E93" i="110"/>
  <c r="I93" i="110" s="1"/>
  <c r="E93" i="109"/>
  <c r="I93" i="109" s="1"/>
  <c r="E93" i="107"/>
  <c r="I93" i="107" s="1"/>
  <c r="I117" i="106" l="1"/>
  <c r="I132" i="106" l="1"/>
  <c r="I161" i="106"/>
  <c r="I163" i="106" s="1"/>
  <c r="I133" i="106"/>
  <c r="I134" i="106" l="1"/>
  <c r="I135" i="106" s="1"/>
  <c r="I136" i="106" s="1"/>
  <c r="I145" i="106" l="1"/>
  <c r="I140" i="106"/>
  <c r="I139" i="106"/>
  <c r="H12" i="101" l="1"/>
  <c r="I149" i="106"/>
  <c r="I146" i="106"/>
  <c r="I164" i="106" s="1"/>
  <c r="I165" i="106" s="1"/>
  <c r="H13" i="101" s="1"/>
  <c r="H3" i="101"/>
  <c r="H8" i="101" l="1"/>
  <c r="H11" i="101" l="1"/>
  <c r="H7" i="101"/>
  <c r="H4" i="101"/>
  <c r="H5" i="101"/>
  <c r="I66" i="102" l="1"/>
  <c r="I74" i="102" s="1"/>
  <c r="H41" i="102"/>
  <c r="H46" i="102" s="1"/>
  <c r="H48" i="102" s="1"/>
  <c r="I23" i="102"/>
  <c r="I24" i="102" s="1"/>
  <c r="J100" i="102" l="1"/>
  <c r="J81" i="102"/>
  <c r="J80" i="102"/>
  <c r="J102" i="102"/>
  <c r="J85" i="102"/>
  <c r="J98" i="102"/>
  <c r="J82" i="102"/>
  <c r="J103" i="102"/>
  <c r="J99" i="102"/>
  <c r="J101" i="102"/>
  <c r="J83" i="102"/>
  <c r="J84" i="102"/>
  <c r="B93" i="102"/>
  <c r="I32" i="102"/>
  <c r="I31" i="102"/>
  <c r="I33" i="102" s="1"/>
  <c r="I72" i="102" s="1"/>
  <c r="J104" i="102" l="1"/>
  <c r="J86" i="102"/>
  <c r="H93" i="102" s="1"/>
  <c r="I40" i="102"/>
  <c r="I41" i="102"/>
  <c r="I42" i="102"/>
  <c r="I43" i="102"/>
  <c r="I45" i="102"/>
  <c r="I39" i="102"/>
  <c r="I44" i="102"/>
  <c r="I47" i="102"/>
  <c r="I46" i="102" l="1"/>
  <c r="I48" i="102" s="1"/>
  <c r="I73" i="102" l="1"/>
  <c r="I75" i="102" s="1"/>
  <c r="E93" i="102" l="1"/>
  <c r="I93" i="102" s="1"/>
  <c r="H10" i="101" l="1"/>
  <c r="I7" i="101" l="1"/>
  <c r="J7" i="101" s="1"/>
  <c r="I13" i="101"/>
  <c r="J13" i="101" s="1"/>
  <c r="I12" i="101"/>
  <c r="J12" i="101" s="1"/>
  <c r="I11" i="101"/>
  <c r="J11" i="101" s="1"/>
  <c r="I10" i="101"/>
  <c r="J10" i="101" s="1"/>
  <c r="I8" i="101"/>
  <c r="J8" i="101" s="1"/>
  <c r="H41" i="62" l="1"/>
  <c r="H46" i="62" s="1"/>
  <c r="H48" i="62" s="1"/>
  <c r="I23" i="62" l="1"/>
  <c r="I24" i="62" s="1"/>
  <c r="I66" i="62"/>
  <c r="I74" i="62" s="1"/>
  <c r="J99" i="62" l="1"/>
  <c r="J103" i="62"/>
  <c r="J84" i="62"/>
  <c r="J81" i="62"/>
  <c r="J80" i="62"/>
  <c r="J102" i="62"/>
  <c r="J101" i="62"/>
  <c r="J98" i="62"/>
  <c r="J82" i="62"/>
  <c r="J100" i="62"/>
  <c r="J85" i="62"/>
  <c r="J83" i="62"/>
  <c r="B93" i="62"/>
  <c r="I32" i="62"/>
  <c r="I31" i="62"/>
  <c r="J104" i="62" l="1"/>
  <c r="J86" i="62"/>
  <c r="H93" i="62" s="1"/>
  <c r="I33" i="62"/>
  <c r="I47" i="62" s="1"/>
  <c r="I43" i="62" l="1"/>
  <c r="I44" i="62"/>
  <c r="I41" i="62"/>
  <c r="I72" i="62"/>
  <c r="I45" i="62"/>
  <c r="I42" i="62"/>
  <c r="I40" i="62"/>
  <c r="I39" i="62"/>
  <c r="I46" i="62" l="1"/>
  <c r="I48" i="62" s="1"/>
  <c r="I73" i="62" s="1"/>
  <c r="I75" i="62" s="1"/>
  <c r="E93" i="62" l="1"/>
  <c r="I93" i="62" s="1"/>
  <c r="I6" i="101" l="1"/>
  <c r="J6" i="101" s="1"/>
  <c r="I3" i="101"/>
  <c r="J3" i="101" s="1"/>
  <c r="I4" i="101" l="1"/>
  <c r="J4" i="101" s="1"/>
  <c r="I5" i="101"/>
  <c r="J5" i="101" s="1"/>
  <c r="H9" i="101" l="1"/>
  <c r="I9" i="101" s="1"/>
  <c r="J9" i="101" s="1"/>
  <c r="J14" i="10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H57" authorId="0" shapeId="0" xr:uid="{126422EE-8A45-4D6A-884E-91F3EA1F0778}">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DD22B82C-55C1-4C38-8BA5-8BADEB0D0FAA}">
      <text>
        <r>
          <rPr>
            <b/>
            <sz val="9"/>
            <color indexed="81"/>
            <rFont val="Segoe UI"/>
            <family val="2"/>
          </rPr>
          <t>De acordo com levantamento efetuado em diversos contratos, cerca de 5% do pessoal é demitido pelo
empregador</t>
        </r>
      </text>
    </comment>
    <comment ref="B81" authorId="0" shapeId="0" xr:uid="{ADEDA3DE-C08E-48F7-92BF-454A8273CFD4}">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B79257A5-8CEF-4AC4-9290-46F89F51F190}">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47F6F71D-5EC8-4DF8-A048-34B2F489814D}">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FD5E9289-A808-494F-A049-5CEBD9266ABB}">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DCBA6A67-E810-429D-9052-AEA2A29686F8}">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4E1293AA-4097-45B2-9994-614CBACF6462}">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E4852FFD-8513-49EE-8696-A7266D7784E7}">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ABF42162-405A-42AC-A384-FB8703C7B338}">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78E41963-D9F3-41CC-B801-60FB4DCBBC54}">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I54" authorId="0" shapeId="0" xr:uid="{C5486A87-4552-4E72-A80A-2D449C9DC650}">
      <text>
        <r>
          <rPr>
            <b/>
            <sz val="9"/>
            <color indexed="81"/>
            <rFont val="Segoe UI"/>
            <family val="2"/>
          </rPr>
          <t xml:space="preserve">=(3*2*22)-(i22/100)*6
=127,50-145,65 = - 18,15
Não compensa 
</t>
        </r>
      </text>
    </comment>
    <comment ref="H57" authorId="0" shapeId="0" xr:uid="{214401C7-C7B5-44F5-86FB-52E4A7509650}">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6E4589A4-B793-4299-8170-29CA6AB0738F}">
      <text>
        <r>
          <rPr>
            <b/>
            <sz val="9"/>
            <color indexed="81"/>
            <rFont val="Segoe UI"/>
            <family val="2"/>
          </rPr>
          <t>De acordo com levantamento efetuado em diversos contratos, cerca de 5% do pessoal é demitido pelo
empregador</t>
        </r>
      </text>
    </comment>
    <comment ref="B81" authorId="0" shapeId="0" xr:uid="{093CEE8F-08BE-457F-90A9-62C7234EDA72}">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135EDD42-D39A-40BD-9566-FC8E1635376D}">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93321E09-A678-4B1F-9F45-2499E1804F76}">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F41FD3DD-04A8-4D33-AF1A-2880BC998FCC}">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E941A03D-FDAB-4DDB-B43B-D9A76A5EF8FF}">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7B81037F-8CE5-40B5-BC43-4FA27E97F752}">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AEC57DA5-608E-4B0C-A2EF-3C292117BEDC}">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560FE2FD-2444-4998-8399-356F592A09BC}">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FDA18940-79E2-4AF7-B6C7-D20C9C9358BD}">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I54" authorId="0" shapeId="0" xr:uid="{E72B7227-E106-4E2A-B01F-3D4EB6A61B05}">
      <text>
        <r>
          <rPr>
            <b/>
            <sz val="9"/>
            <color indexed="81"/>
            <rFont val="Segoe UI"/>
            <family val="2"/>
          </rPr>
          <t xml:space="preserve">=(4,5*2*21,25)-(i22/100)*6
=191,25-222,84 = - 31,59
Não compensa
</t>
        </r>
      </text>
    </comment>
    <comment ref="H57" authorId="0" shapeId="0" xr:uid="{6A99A67C-A5DD-4BBD-BC66-8BB2A6D85F9E}">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A9393415-7AB8-48FF-8180-E10B65456131}">
      <text>
        <r>
          <rPr>
            <b/>
            <sz val="9"/>
            <color indexed="81"/>
            <rFont val="Segoe UI"/>
            <family val="2"/>
          </rPr>
          <t>De acordo com levantamento efetuado em diversos contratos, cerca de 5% do pessoal é demitido pelo
empregador</t>
        </r>
      </text>
    </comment>
    <comment ref="B81" authorId="0" shapeId="0" xr:uid="{1F4D943D-1BC7-41DA-815B-BDCF9E15F881}">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29167BF7-45C4-4D7A-B4FE-BF39CA5E9167}">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4970B97A-341D-4E00-A894-C8595C1CDEF3}">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B8D96781-781E-42FB-AEF2-8811718C6376}">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388BECC2-0668-4AFB-9FD2-97296368225C}">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990004A3-A7F3-45D9-8BBC-78C89B5C29B7}">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6F11933D-6F66-4E5A-B37C-9F8D979811D7}">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2FB2C74F-895D-46BB-A88D-E92C5266BBA7}">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030C2B4F-0781-47ED-9E38-652E3AAADD69}">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H55" authorId="0" shapeId="0" xr:uid="{6437032E-F5DE-4C50-B880-3542CBA182AA}">
      <text>
        <r>
          <rPr>
            <b/>
            <sz val="9"/>
            <color indexed="81"/>
            <rFont val="Segoe UI"/>
            <family val="2"/>
          </rPr>
          <t>Santarém/PA</t>
        </r>
      </text>
    </comment>
    <comment ref="H57" authorId="0" shapeId="0" xr:uid="{C2337188-8142-46B8-8966-D0AE8CCFD825}">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H60" authorId="0" shapeId="0" xr:uid="{ADB39B2A-BABD-47FA-B5A7-AD5E87FB5133}">
      <text>
        <r>
          <rPr>
            <b/>
            <sz val="9"/>
            <color indexed="81"/>
            <rFont val="Segoe UI"/>
            <family val="2"/>
          </rPr>
          <t xml:space="preserve">www.salario.com.br </t>
        </r>
      </text>
    </comment>
    <comment ref="I60" authorId="0" shapeId="0" xr:uid="{C0EABD51-53B2-4293-A9D4-613C48F0AC9A}">
      <text>
        <r>
          <rPr>
            <b/>
            <sz val="9"/>
            <color indexed="81"/>
            <rFont val="Segoe UI"/>
            <family val="2"/>
          </rPr>
          <t>=40*21,25=850,00</t>
        </r>
      </text>
    </comment>
    <comment ref="I62" authorId="0" shapeId="0" xr:uid="{88547C40-9DB6-463D-A85C-9EF3A711D6D0}">
      <text>
        <r>
          <rPr>
            <b/>
            <sz val="9"/>
            <color indexed="81"/>
            <rFont val="Segoe UI"/>
            <family val="2"/>
          </rPr>
          <t>20% de 850,00 = 170,00 (que será descontado do empregado</t>
        </r>
      </text>
    </comment>
    <comment ref="B80" authorId="0" shapeId="0" xr:uid="{029014D2-E042-434A-A5AD-F16234C92291}">
      <text>
        <r>
          <rPr>
            <b/>
            <sz val="9"/>
            <color indexed="81"/>
            <rFont val="Segoe UI"/>
            <family val="2"/>
          </rPr>
          <t>De acordo com levantamento efetuado em diversos contratos, cerca de 5% do pessoal é demitido pelo
empregador</t>
        </r>
      </text>
    </comment>
    <comment ref="B81" authorId="0" shapeId="0" xr:uid="{77616F0F-BC6E-4140-9931-E9DFA8BB69B4}">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B5C5D9AA-8A12-4738-B04F-DAC294032DE6}">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E51EEF33-1BB4-47E3-8CF5-D3191638E997}">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435DDD83-5DB4-4720-9052-58F3D94F2DF1}">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266C6A88-F9A6-47F4-8DAC-9716A240000B}">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64A7A5F8-F202-42DA-9299-2720505B8E4E}">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EF84206F-177C-4791-A6B0-5AF50C2D2325}">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9286F507-5E62-41C7-A551-BCDD223708DE}">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7E1A7804-F557-4B9E-86F7-58D8F540DA43}">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H57" authorId="0" shapeId="0" xr:uid="{0BFD0B65-EA37-4190-9F99-729E4D9B26DF}">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47616870-67DA-4368-9EE0-1CD8432C5BA2}">
      <text>
        <r>
          <rPr>
            <b/>
            <sz val="9"/>
            <color indexed="81"/>
            <rFont val="Segoe UI"/>
            <family val="2"/>
          </rPr>
          <t>De acordo com levantamento efetuado em diversos contratos, cerca de 5% do pessoal é demitido pelo
empregador</t>
        </r>
      </text>
    </comment>
    <comment ref="B81" authorId="0" shapeId="0" xr:uid="{0B37964E-8CA5-4CFF-A258-3F53A8D780C7}">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11BF6B9F-B1C7-4697-AF6D-47886A6A2FE4}">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3465472D-491E-48D5-B5D4-BB13B405B6B1}">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D46EEB28-EB76-437E-88AA-DFC0CEAD13C5}">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0EBE6E1D-1C28-461C-8A90-448127026743}">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18C64186-FBC6-4BB2-9EF4-BB8747DE1D41}">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ABD96BA6-DB88-43CB-AA37-FF286FB8A2A4}">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8CE2199F-43BE-4DAB-A438-750BF3A83BD3}">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771C362E-D3F4-4D72-BDB8-4C507795DB55}">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I54" authorId="0" shapeId="0" xr:uid="{8560D13B-1B24-4230-9AF2-830B36ED9A4C}">
      <text>
        <r>
          <rPr>
            <b/>
            <sz val="9"/>
            <color indexed="81"/>
            <rFont val="Segoe UI"/>
            <family val="2"/>
          </rPr>
          <t xml:space="preserve">=(3,25*2*21,25)-(i22/100)*6
=138,12-182,56 = - 44,43
Não compensa 
</t>
        </r>
      </text>
    </comment>
    <comment ref="H57" authorId="0" shapeId="0" xr:uid="{E19A8D18-66CB-47B5-8F56-FDD089EC2589}">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1CD737A4-C2D3-4D99-825E-9165110921B3}">
      <text>
        <r>
          <rPr>
            <b/>
            <sz val="9"/>
            <color indexed="81"/>
            <rFont val="Segoe UI"/>
            <family val="2"/>
          </rPr>
          <t>De acordo com levantamento efetuado em diversos contratos, cerca de 5% do pessoal é demitido pelo
empregador</t>
        </r>
      </text>
    </comment>
    <comment ref="B81" authorId="0" shapeId="0" xr:uid="{BFC1CEEC-EDF1-4DC5-9AD4-61D51302DF1C}">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B2FC23D4-93EC-46B6-A0BE-1890F6C880C9}">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AD5E5492-BEBF-47C7-99AE-B8BD0FAA7C2E}">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71F25149-7093-4431-BFE6-718A949FEF16}">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A963A7BF-D9C1-4488-A54B-1E7084115AB4}">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AC4447B4-723F-4ACC-A0C9-564B9941F300}">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9AD95765-A0F4-4532-A837-04D6225EE4E2}">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0254771C-8017-46B8-888A-AFC049782F45}">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35F2618D-600C-4898-8BC4-DE397934FCC2}">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H57" authorId="0" shapeId="0" xr:uid="{E8226CC4-14AA-4087-9073-B0E1DC242B0B}">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2F2C2201-6C5C-486B-A4B3-853CFC4F521A}">
      <text>
        <r>
          <rPr>
            <b/>
            <sz val="9"/>
            <color indexed="81"/>
            <rFont val="Segoe UI"/>
            <family val="2"/>
          </rPr>
          <t>De acordo com levantamento efetuado em diversos contratos, cerca de 5% do pessoal é demitido pelo
empregador</t>
        </r>
      </text>
    </comment>
    <comment ref="B81" authorId="0" shapeId="0" xr:uid="{8B78527E-7240-4DFD-90AB-88752FEF418C}">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F1E2754D-C66A-4441-8EBA-E74E9F3B8BCC}">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89FF6958-61A3-4356-ABCE-6AF94FCCB33E}">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4A5B120A-ABA7-44E6-ADDF-396B90BA8FA8}">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CC2C958F-2B92-455A-80FA-C5551CBE208D}">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CB3F9A4C-D11D-4788-A1D6-08AF82B5D85C}">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37A17AF8-02DE-4229-808B-01B560427EAA}">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1D3A7FCF-D61E-4F14-ABF6-E16384729DE9}">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69B5A2C3-58A3-40EC-BC29-29DBE4D410CB}">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H57" authorId="0" shapeId="0" xr:uid="{8D4A8455-CBD5-4063-BF9E-37B1283D0AAE}">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1F6AC040-9E84-49CC-9F1A-9547FE6C6C99}">
      <text>
        <r>
          <rPr>
            <b/>
            <sz val="9"/>
            <color indexed="81"/>
            <rFont val="Segoe UI"/>
            <family val="2"/>
          </rPr>
          <t>De acordo com levantamento efetuado em diversos contratos, cerca de 5% do pessoal é demitido pelo
empregador</t>
        </r>
      </text>
    </comment>
    <comment ref="B81" authorId="0" shapeId="0" xr:uid="{8E69DAD3-C356-4736-8BCB-16BB2715FC4A}">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07A41395-50D6-4426-826B-70F32D231432}">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1B2DEB41-3601-4C58-ADE9-80A4CBBDCE2C}">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98D44C85-4337-4F29-874A-BAEC1E9E2D14}">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25D96525-E8F1-4EA9-BB38-9ABA486EE48D}">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0942DF20-FE29-4A62-8B34-35BAB27C17CF}">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75163C15-B583-414A-97C2-96EBC1A58E99}">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CFA74F65-5C8C-4C20-BA87-7CF5B3DC936E}">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0BC078BC-1EAC-4075-A688-6D544989D9BD}">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I54" authorId="0" shapeId="0" xr:uid="{7CAD4779-5439-4040-91D6-FF68DEC35DCB}">
      <text>
        <r>
          <rPr>
            <b/>
            <sz val="9"/>
            <color indexed="81"/>
            <rFont val="Segoe UI"/>
            <family val="2"/>
          </rPr>
          <t>=(3*2*21,25)-(i22/100)*6
=127,50-145,65 = - 18,15
Não compensa</t>
        </r>
      </text>
    </comment>
    <comment ref="H57" authorId="0" shapeId="0" xr:uid="{D6B6E9D1-6AD9-4DEB-82B6-70E09C594FA8}">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52C3D1F7-D872-4C92-A4BF-04816F0058E2}">
      <text>
        <r>
          <rPr>
            <b/>
            <sz val="9"/>
            <color indexed="81"/>
            <rFont val="Segoe UI"/>
            <family val="2"/>
          </rPr>
          <t>De acordo com levantamento efetuado em diversos contratos, cerca de 5% do pessoal é demitido pelo
empregador</t>
        </r>
      </text>
    </comment>
    <comment ref="B81" authorId="0" shapeId="0" xr:uid="{95342AC7-AB89-46AD-856D-DD8488B96C02}">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6A91D310-65C8-4BD2-BFC8-25AC9A8F2864}">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AD55053F-5FDD-46A6-9DCE-4B690FC46F89}">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C8F66582-B4DB-4671-A625-0B3B3254957C}">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553517E0-2DD2-4B2E-BDF6-7A66D0B286D5}">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E99F0E78-F6D5-4F33-ADA4-3670CA3C4FEF}">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4E17AD26-CF6E-47CE-A85B-7DC656BD1067}">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D32B1838-FD0E-4FAB-BAC7-CC55DD202A25}">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9CBD2388-D87B-41C5-8234-4670054DD4F3}">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I54" authorId="0" shapeId="0" xr:uid="{266C8925-00BD-48A3-A169-49C586624F11}">
      <text>
        <r>
          <rPr>
            <b/>
            <sz val="9"/>
            <color indexed="81"/>
            <rFont val="Segoe UI"/>
            <family val="2"/>
          </rPr>
          <t xml:space="preserve">=(3*2*22)-(i22/100)*6
=127,50-145,65 = - 18,15
Não compensa 
</t>
        </r>
      </text>
    </comment>
    <comment ref="H57" authorId="0" shapeId="0" xr:uid="{B7E29AF9-6C07-4367-B7A2-0FBB6201103E}">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4D67CBE9-7769-4CBE-A97D-AF1DF8EE2925}">
      <text>
        <r>
          <rPr>
            <b/>
            <sz val="9"/>
            <color indexed="81"/>
            <rFont val="Segoe UI"/>
            <family val="2"/>
          </rPr>
          <t>De acordo com levantamento efetuado em diversos contratos, cerca de 5% do pessoal é demitido pelo
empregador</t>
        </r>
      </text>
    </comment>
    <comment ref="B81" authorId="0" shapeId="0" xr:uid="{913844CB-9F83-40EE-8C3E-B51E814C4294}">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D1920BB7-830B-470A-BA19-34DAA65C504F}">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184B4E8F-8D8B-469B-A884-40C4993CCDBC}">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D0DDE087-F8DA-4784-B3BB-FCE2BC60D679}">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C0D042F7-27AF-4F3F-BFF9-2E224D89A2E0}">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19E7B7E4-6AE5-4EC2-A333-B0017313E0D5}">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3506AEAB-4504-4A25-B868-BEF06150130B}">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68858B50-EE52-4A63-8AB0-7A0BE5574C28}">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05DE9E5C-1C81-400E-826F-5314CB36C411}">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Eliezer Gentil de Souza</author>
  </authors>
  <commentList>
    <comment ref="H57" authorId="0" shapeId="0" xr:uid="{6AB0E920-E7BD-41E1-9714-2F09E4D660F6}">
      <text>
        <r>
          <rPr>
            <b/>
            <sz val="9"/>
            <color indexed="81"/>
            <rFont val="Segoe UI"/>
            <family val="2"/>
          </rPr>
          <t>Como 2024 é um ano bissexto, tem 366 dias.
Vamos retirar 52 sábados e 52 domingos. Restam 262 dias.
Agora, vamos remover 7 feriados que não caem durante um fim de semana e obteremos 255 dias úteis em 2024 .
Aqui está a lista destes 7 feriados:
1. Confraternização Universal : segunda-feira, 1 janeiro, 2024
2. Terça-feira de Carnaval : terça-feira, 13 fevereiro, 2024
3. Sexta Feira Santa ou Paixão de Cristo : sexta-feira, 29 março, 2024
4. Dia do Trabalho : quarta-feira, 1 maio, 2024
5. Proclamação da República Brasileira : sexta-feira, 15 novembro, 2024
6. Dia Nacional de Zumbi e da Consciência Negra : quarta-feira, 20 novembro, 2024
7. Natal : quarta-feira, 25 dezembro, 2024
ENTÃO, 255 DIAS ÚTEIS DIVIDIDOS POR 12 MESES, TEREMOS UMA MÉDIA DE 21,25 DIAS ÚTEIS POR MÊS EM 2024</t>
        </r>
      </text>
    </comment>
    <comment ref="B80" authorId="0" shapeId="0" xr:uid="{BCD28752-D73D-498C-9774-FD93745B28B1}">
      <text>
        <r>
          <rPr>
            <b/>
            <sz val="9"/>
            <color indexed="81"/>
            <rFont val="Segoe UI"/>
            <family val="2"/>
          </rPr>
          <t>De acordo com levantamento efetuado em diversos contratos, cerca de 5% do pessoal é demitido pelo
empregador</t>
        </r>
      </text>
    </comment>
    <comment ref="B81" authorId="0" shapeId="0" xr:uid="{26665659-7764-4B21-8BB2-1BAE8D7FBD4E}">
      <text>
        <r>
          <rPr>
            <b/>
            <sz val="9"/>
            <color indexed="81"/>
            <rFont val="Segoe UI"/>
            <family val="2"/>
          </rPr>
          <t xml:space="preserve">% FGTS sobre API = Índice que demonstra o custo estimado com a incidência do FGTS sobre o aviso prévio indenizado
API = custo mensal do aviso prévio indenizado, cotado na planilha (item “A” do Módulo 3)
0,08 = 8% (alíquota do FGTS)
</t>
        </r>
      </text>
    </comment>
    <comment ref="B82" authorId="0" shapeId="0" xr:uid="{67881807-829C-4E1C-93B5-2AA28A45F3A2}">
      <text>
        <r>
          <rPr>
            <b/>
            <sz val="9"/>
            <color indexed="81"/>
            <rFont val="Segoe UI"/>
            <family val="2"/>
          </rPr>
          <t xml:space="preserve">% Multa e CS sobre FGTS = Índice que demonstra o custo estimado com a Multa do FGTS e contribuição social sobre o Aviso Prévio Indenizado
1= Remuneração mensal
2/12 = Estimativa de 13º e férias sobre a remuneração
(1/3*1/12) = Estimativa de 1/3 de férias
0,08 = Alíquota do FGTS
0,4 = Alíquota da Multa sobre o saldo do FGTS
0,9 = 90% dos funcionários remanescentes
</t>
        </r>
      </text>
    </comment>
    <comment ref="B83" authorId="0" shapeId="0" xr:uid="{90E53F2F-CCE4-473D-9036-E70916441913}">
      <text>
        <r>
          <rPr>
            <b/>
            <sz val="9"/>
            <color indexed="81"/>
            <rFont val="Segoe UI"/>
            <family val="2"/>
          </rPr>
          <t xml:space="preserve">% APT = Índice a ser aplicado sobre o total do Módulo 1 para estimativa mensal do custo com aviso prévio trabalhado
(7/30) = proporção de dias de aviso prévio a que o empregado tem direito de se ausentar durante o mês
12 = número de meses no ano
PERC = percentual arbitrado de empregados que poderão ser demitidos sem a concessão de aviso prévio.
</t>
        </r>
      </text>
    </comment>
    <comment ref="B85" authorId="0" shapeId="0" xr:uid="{FF4B184E-59A5-4959-A70F-889AF74F6C62}">
      <text>
        <r>
          <rPr>
            <b/>
            <sz val="9"/>
            <color indexed="81"/>
            <rFont val="Segoe UI"/>
            <family val="2"/>
          </rPr>
          <t xml:space="preserve">% Multa e CS sobre FGTS = Índice que demonstra o custo estimado com a Multa do FGTS e contribuição social sobre o Aviso Prévio Trabalhado
1= Remuneração mensal
APT = Aviso Prévio Trabalhado disposto no item “D” do Módulo 3
0,08 = Alíquota do FGTS
0,4 = Alíquota da Multa sobre o saldo do FGTS
</t>
        </r>
      </text>
    </comment>
    <comment ref="B99" authorId="0" shapeId="0" xr:uid="{9AC27C42-0E48-4A30-96B0-AEE5B2B83EB2}">
      <text>
        <r>
          <rPr>
            <b/>
            <sz val="9"/>
            <color indexed="81"/>
            <rFont val="Segoe UI"/>
            <family val="2"/>
          </rPr>
          <t xml:space="preserve">Considerando uma estimativa de 5 dias de licença por ano, a estimativa do percentual dessa rubrica a ser aplicado sobre a remuneração mensal do titular pode ser obtida pelo cálculo abaixo:
% Ausência por Doença = (5 ÷ 30 ÷ 12) × 100 ∴ % Ausência por Doença ≅ 1,39%
</t>
        </r>
      </text>
    </comment>
    <comment ref="B100" authorId="0" shapeId="0" xr:uid="{8AAD089B-099A-43B0-954A-47C94E622308}">
      <text>
        <r>
          <rPr>
            <b/>
            <sz val="9"/>
            <color indexed="81"/>
            <rFont val="Segoe UI"/>
            <family val="2"/>
          </rPr>
          <t xml:space="preserve">Considerando uma estimativa de 1,5% dos empregados usufruindo 5 (cinco) dias de licença por ano (IBGE), a estimativa do percentual dessa rubrica a ser aplicada sobre a remuneração mensal do titular pode ser obtida pelo cálculo abaixo:
% LP = (5 ÷ 30 ÷ 12) × 0,015 × 100 ∴ % LP ≅ 0,02%
</t>
        </r>
      </text>
    </comment>
    <comment ref="B101" authorId="0" shapeId="0" xr:uid="{BE18FA4D-66F1-4C23-A587-C9CC2B79C7A6}">
      <text>
        <r>
          <rPr>
            <b/>
            <sz val="9"/>
            <color indexed="81"/>
            <rFont val="Segoe UI"/>
            <family val="2"/>
          </rPr>
          <t xml:space="preserve">Todo trabalhador/segurado da Previdência Social tem direito a um benefício previdenciário, em caso de moléstia que o afaste do trabalho por mais de 16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
Considerando uma estimativa de 1,78% dos empregados usufruindo 30 (trinta) dias de licença por ano, a estimativa do percentual dessa rubrica a ser aplicada sobre a remuneração mensal do titular pode ser obtida pelo cálculo abaixo:
% LP = (1 ÷ 12) × 0,0178 × 100 ∴ % LP ≅ 0,15%. O resultado é para 30 dias de afastamento. Só que a empresa arca somente com os primeiros 15 dias. Então, divide-se o resultado (0,1477) por 2. Ou seja: ≅ 0,07%.
Onde:
%LP= Índice que demonstra o custo estimado com a substituição na cobertura de ausências por acidente de trabalho. Esse índice deverá ser aplicado sobre a remuneração mensal (Módulo 1).
(1 ÷ 12) = Estimativa de 1 (uma) licença de 30 (trinta) dias por ano.
0,0178=Estimativa de empregados usufruindo a licença.
</t>
        </r>
      </text>
    </comment>
    <comment ref="B102" authorId="0" shapeId="0" xr:uid="{6850F2F4-A050-420C-A298-029FD589CFBB}">
      <text>
        <r>
          <rPr>
            <b/>
            <sz val="9"/>
            <color indexed="81"/>
            <rFont val="Segoe UI"/>
            <family val="2"/>
          </rPr>
          <t xml:space="preserve">A licença maternidade consiste em um direito constitucional garantido à mulher, especialmente à gestante.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próprio STJ. A remuneração do substituto, acrescida de todos os encargos, é justamente a remuneração da trabalhadora substituída no período (vide Módulo 1 e Submódulo 2.2).
Portanto o custo do efetivo (CEF) é apurado a partir da fórmula abaixo a ser aplicada sobre a remuneração mensal do titular (Módulo 1):
=(1/12+(1/3*1/12))*100 = 11,11%
Onde:
% CEF= Índice que demonstra o custo efetivo de afastamento maternidade
1/12 = provisão de férias
(1/3 * 1/12) = provisão mensal de 1/3 de férias
De posse do custo efetivo, deve-se estimar o custo a ser aportado mensalmente na Planilha Analítica. Isso é realizado com a seguinte fórmula:
% CEST = %CEF × Nº de Ocorrências × Rateio do Custo durante um ano
Onde:
% CEST= Índice que demonstra o CUSTO ESTIMADO de afastamento maternidade a ser aportado na Planilha Analítica. Esse índice deverá ser aplicado sobre a remuneração mensal (Módulo 1).
% CEF= Índice que demonstra o CUSTO EFETIVO de afastamento maternidade
Nº de Ocorrências= Número estimado de ocorrências
Número Estimado de Ocorrências: Conforme Anuário Estatístico da RAIS, elaborado pelo Ministério do Trabalho, as mulheres representaram cerca de 24% do total de empregos no Distrito Federal em 2018 (477.974 do total de 1.193.098). Já o Anuário Estatístico da Previdência Social dispõe que foi concedida a quantidade de 105.457 salários-maternidade no âmbito do Distrito Federal em 2018. Essa quantidade representa cerca de 22% do total de mulheres empregadas no Distrito Federal no mesmo período. Portanto, a estimativa de uma determinada empregada usurfruir 6 (seis) meses de licença a cada ano de execução contratual é de
0,24 × 0,22 × 100 ≅ 5,28% de empregadas afastadas
Rateio do Custo durante Vigência Contratual: Divisão proporcional do custo de 6 (seis) meses de licença por ano (base do nº de ocorrências):
(6 meses de licença) ÷ (12 meses) × 100 = 50%
Com base nos dados acima, o custo estimado com licença maternidade (CEST) será assim obtido:
% CEST = 11,11% × 5,28% × 50% ∴ % CEST ≅ 0,29%
</t>
        </r>
      </text>
    </comment>
    <comment ref="B103" authorId="0" shapeId="0" xr:uid="{7284CA07-3F8B-434D-BF97-E5EB4BDBF2A1}">
      <text>
        <r>
          <rPr>
            <b/>
            <sz val="9"/>
            <color indexed="81"/>
            <rFont val="Segoe UI"/>
            <family val="2"/>
          </rPr>
          <t xml:space="preserve">Considera-se, no modelo, uma estimativa de que cada empregado usufrua 1 (um) dia de licença (ex. doação de sangue, retirar título de eleitor, falecimento de cônjuge etc.) por ano (IBGE). Portanto o percentual dessa rubrica a ser aplicada sobre a remuneração mensal do titular pode ser obtido pelo cálculo abaixo:
% AL = (1 ÷ 30 ÷ 12) × 100 ∴ % AL ≅ 0,28%
Onde:
%AL = Índice que demonstra o custo estimado com a substituição na cobertura de ausência legal. Esse índice
deverá ser aplicado sobre a remuneração mensal (Módulo 1).
(1 ÷30 ÷12) = Estimativa de 1 (um) dia de licença por ano
</t>
        </r>
      </text>
    </comment>
  </commentList>
</comments>
</file>

<file path=xl/sharedStrings.xml><?xml version="1.0" encoding="utf-8"?>
<sst xmlns="http://schemas.openxmlformats.org/spreadsheetml/2006/main" count="2599" uniqueCount="214">
  <si>
    <t>SERVIÇO PÚBLICO FEDERAL</t>
  </si>
  <si>
    <t>Total</t>
  </si>
  <si>
    <t>SEBRAE</t>
  </si>
  <si>
    <t>INCRA</t>
  </si>
  <si>
    <t>FGTS</t>
  </si>
  <si>
    <t>Assistência Odontológica</t>
  </si>
  <si>
    <t>Custos Indiretos</t>
  </si>
  <si>
    <t>Tributos</t>
  </si>
  <si>
    <t>Lucro</t>
  </si>
  <si>
    <t>E</t>
  </si>
  <si>
    <t>MJSP - POLÍCIA FEDERAL - DIVISÃO DE ADMINISTRAÇÃO - DAD/ANP/DGP/PF</t>
  </si>
  <si>
    <t>PLANILHA ESTIMATIVA DE CUSTOS E FORMAÇÃO DE PREÇOS</t>
  </si>
  <si>
    <t>Módulo 1: Composição da Remuneração</t>
  </si>
  <si>
    <t>Composição da Remuneração</t>
  </si>
  <si>
    <t>Percentual
(R$)</t>
  </si>
  <si>
    <t>Valor
(R$)</t>
  </si>
  <si>
    <t>A</t>
  </si>
  <si>
    <t>B</t>
  </si>
  <si>
    <t>Nota1:  O Módulo 1 refere-se ao valor mensal devido ao empregado pela prestação do serviço no período de 12 meses.</t>
  </si>
  <si>
    <t>Módulo 2 – Encargos e Benefícios Anuais, Mensais e Diários</t>
  </si>
  <si>
    <t>Submódulo 2.1 – 13º (décimo terceiro) Salário e Adicional de Férias</t>
  </si>
  <si>
    <t>2.1</t>
  </si>
  <si>
    <t>13º (décimo terceiro) Salário e Adicional de Férias</t>
  </si>
  <si>
    <t>Valor (R$)</t>
  </si>
  <si>
    <t>13º (décimo terceiro) Salário. Obrigatória a cotação de 8,33% sobre o valor do Módulo 1 – Composição da Remuneração, conforme Anexo XII da IN 5/17</t>
  </si>
  <si>
    <t>Adicional de Férias. Obrigatória a cotação de 2,78% sobre o valor do Módulo 1 – Composição da Remuneração.</t>
  </si>
  <si>
    <t>Nota 1:  Como a planilha de custos e formação de preços é calculada mensalmente, provisiona-se proporcionalmente 1/12 (um doze avos) dos valores referentes à gratificação natalina e adicional de férias.
Nota 2:  O adicional de férias contido no Submódulo 2.1 corresponde a 1/3 (um terço) da remuneração que por sua vez é dividido por 12 (doze) conforme Nota 1 acima.</t>
  </si>
  <si>
    <t>2.2</t>
  </si>
  <si>
    <t>GPS, FGTS e outras contribuições</t>
  </si>
  <si>
    <t>Percentual (%)</t>
  </si>
  <si>
    <t>Valor
 (R$)</t>
  </si>
  <si>
    <t>INSS</t>
  </si>
  <si>
    <t>Salário Educação</t>
  </si>
  <si>
    <t>C</t>
  </si>
  <si>
    <t>RAT =</t>
  </si>
  <si>
    <t>FAP =</t>
  </si>
  <si>
    <t>D</t>
  </si>
  <si>
    <t>SESC ou SESI</t>
  </si>
  <si>
    <t>SENAC ou SENAI</t>
  </si>
  <si>
    <t>F</t>
  </si>
  <si>
    <t>G</t>
  </si>
  <si>
    <t>H</t>
  </si>
  <si>
    <t>Submódulo 2.3 – Benefícios Mensais e Diários</t>
  </si>
  <si>
    <t>2.3</t>
  </si>
  <si>
    <t>Benefícios Mensais e Diários</t>
  </si>
  <si>
    <t>A.1) Valor da passagem do transporte coletivo no município de prestação dos serviços:</t>
  </si>
  <si>
    <t>-</t>
  </si>
  <si>
    <t>A.2) Quantidade de passagens por dia por empregado:</t>
  </si>
  <si>
    <t>A.3) Quantidade de dias do mês de recebimento de passagens</t>
  </si>
  <si>
    <t>B.1) Valor do auxílio-alimentação</t>
  </si>
  <si>
    <t>B.2) Quantidade de dias do mês de recebimento de auxílio-alimentação</t>
  </si>
  <si>
    <t>B.3) Participação do empregado em percentual sobre o auxílio-alimentação</t>
  </si>
  <si>
    <t>Assistência Médica e Familiar</t>
  </si>
  <si>
    <t>Seguro de vida, invalidez e funeral</t>
  </si>
  <si>
    <t>Nota 1: o valor informado deverá ser o custo real do insumo (descontado o valor eventualmente pago pelo empregado).
Nota 2: Observar a previsão dos benefícios contidos em Acordos, Convenções e Dissídios Coletivos de Trabalho e atentar-se ao disposto no artigo 6º desta Instrução Normativa.</t>
  </si>
  <si>
    <t>Encargos e Benefícios Anuais, Mensais e Diários</t>
  </si>
  <si>
    <t>13º (décimo terceiro) Salárioe Adicional de Férias</t>
  </si>
  <si>
    <t>Módulo 3 - Provisão para Rescisão</t>
  </si>
  <si>
    <t>Provisão para Rescisão</t>
  </si>
  <si>
    <t>Valor  (R$)</t>
  </si>
  <si>
    <t>Módulo 4 - Custo de Reposição do Profissional Ausente</t>
  </si>
  <si>
    <t>Nota 1: Os itens que contemplam o módulo 4 se referem ao custo dos dias trabalhados pelo repositor/substituto quando o empregado alocado na prestação do serviço estiver ausente, conforme as previsões estabelecidas na legislação.</t>
  </si>
  <si>
    <t>MÓD 1 =</t>
  </si>
  <si>
    <t>MÓD 3 =</t>
  </si>
  <si>
    <t>Submódulo 4.1 – Substituto nas Ausências Legais</t>
  </si>
  <si>
    <t>4.1</t>
  </si>
  <si>
    <t>Substituto nas Ausências Legais</t>
  </si>
  <si>
    <t>Submódulo 4.2 – Substituto na Intrajornada</t>
  </si>
  <si>
    <t>4.2</t>
  </si>
  <si>
    <t>Substituto na Intrajornada</t>
  </si>
  <si>
    <t>Substituto na cobertura de Intervalo para repouso ou alimentação</t>
  </si>
  <si>
    <t>Quadro-Resumo do Módulo 4 – Custo de Reposição do Profissional Ausente</t>
  </si>
  <si>
    <t>Custo de Reposição do Profissional Ausente</t>
  </si>
  <si>
    <t>Módulo 5 – Insumos Diversos</t>
  </si>
  <si>
    <t>Insumos diversos</t>
  </si>
  <si>
    <t>Uniformes</t>
  </si>
  <si>
    <t>Materiais</t>
  </si>
  <si>
    <t>Equipamentos</t>
  </si>
  <si>
    <t>Outros (especificar)</t>
  </si>
  <si>
    <t>0.00</t>
  </si>
  <si>
    <t>Nota: Valores mensais por empregado.</t>
  </si>
  <si>
    <t>Módulo 6 -  Custos Indiretos, Lucro e Tributos</t>
  </si>
  <si>
    <t>Custos Indiretos, Lucro e Tributos</t>
  </si>
  <si>
    <t>BASE DE CÁLCULO DOS CUSTOS INDIRETOS  = (Total do Módulo 1 – Composição da  Remuneração + Total do Módulo 2 - Encargos e Benefícios Anuais, Mensais e Diários + Total do Módulo 3 – Provisão da Rescisão + Total do Módulo 4 - Custo de Reposição do Profissional Ausente + Total do Módulo 5 - Insumos Diversos)</t>
  </si>
  <si>
    <t>BASE DE CÁLCULO DO LUCRO =  (Total do Módulo 1 – Composição da  Remuneração + Total do Módulo 2 - Encargos e Benefícios Anuais, Mensais e Diários + Total do Módulo 3 – Provisão da Rescisão + Total do Módulo 4 - Custo de Reposição do Profissional Ausente + Total do Módulo 5 - Insumos Diversos + Custos Indiretos)</t>
  </si>
  <si>
    <t>BASE DE CÁLCULO DOS TRIBUTOS = (Total do Módulo 1 – Composição da  Remuneração + Total do Módulo 2 - Encargos e Benefícios Anuais, Mensais e Diários + Total do Módulo 3 – Provisão da Rescisão + Total do Módulo 4 - Custo de Reposição do Profissional Ausente + Total do Módulo 5 - Insumos Diversos + Custos Indiretos + Lucro)</t>
  </si>
  <si>
    <t>C.1    Tributos Federais (especificar)</t>
  </si>
  <si>
    <t>a) Cofins(depende do regime de tributação - utilizada a hipótese de Lucro Real)</t>
  </si>
  <si>
    <t>b) PIS(depende do regime de tributação - utilizada a hipótese de Lucro Real)</t>
  </si>
  <si>
    <t>c) IRPJ-Em face dos Acórdãos TCU nºs 950/2007-P e 205/2018-P, o licitante não pode cotar expressamente este tributo.</t>
  </si>
  <si>
    <t>C.2   Tributos Estaduais (especificar)</t>
  </si>
  <si>
    <t>C.3   Tributos Municipais (especificar):</t>
  </si>
  <si>
    <t>Percentual Total e Valor Total de Tributos</t>
  </si>
  <si>
    <t>Cálculo dos Tributos</t>
  </si>
  <si>
    <t>Base de Cálculo para os Tributos</t>
  </si>
  <si>
    <t>= ( ---------------------------------------------------------------- ) x Alíquota do Tributo</t>
  </si>
  <si>
    <t>1 - (Total de Tributos em % dividido por 100)</t>
  </si>
  <si>
    <t>Nota 1: Custos Indiretos, Lucro e Tributos por empregado.
Nota 2: O valor referente a tributos é obtido aplicando-se o percentual sobre o valor do faturamento.</t>
  </si>
  <si>
    <t>Mão de obra vinculada à execução contratual (valor por empregado)</t>
  </si>
  <si>
    <t>Módulo 1 - Composição da Remuneração</t>
  </si>
  <si>
    <t>Módulo 3 – Provisão para Rescisão</t>
  </si>
  <si>
    <t>Módulo 4 – Custo de Reposição do Profissional Ausente</t>
  </si>
  <si>
    <t>Módulo 5 - Insumo Diversos</t>
  </si>
  <si>
    <t>Subtotal (A + B + C + D + E)</t>
  </si>
  <si>
    <t>Módulo 6 - Custos Indiretos, Lucro e Tributos</t>
  </si>
  <si>
    <t>Valor Mensal por Empregado</t>
  </si>
  <si>
    <t>QUADRO RESUMO</t>
  </si>
  <si>
    <t>GRUPO</t>
  </si>
  <si>
    <t>ITEM</t>
  </si>
  <si>
    <t>DESCRIÇÃO / ESPECIFICAÇÕES</t>
  </si>
  <si>
    <t>CATSER</t>
  </si>
  <si>
    <t>LOCALIDADE</t>
  </si>
  <si>
    <t>UASG</t>
  </si>
  <si>
    <t>QUANTIDADE</t>
  </si>
  <si>
    <t>VALOR MENSAL POR EMPREGADO</t>
  </si>
  <si>
    <t xml:space="preserve">VALOR MENSAL </t>
  </si>
  <si>
    <t>VALOR 24 MESES</t>
  </si>
  <si>
    <t>CCT USADA</t>
  </si>
  <si>
    <r>
      <t xml:space="preserve">TÉCNICO CONTABILIDADE </t>
    </r>
    <r>
      <rPr>
        <b/>
        <sz val="11"/>
        <color rgb="FFFF0000"/>
        <rFont val="Calibri"/>
        <family val="2"/>
        <scheme val="minor"/>
      </rPr>
      <t>(CBO 3511-05)</t>
    </r>
  </si>
  <si>
    <t>JUAZEIRO/BA</t>
  </si>
  <si>
    <t>200346 - SR/PF/BA</t>
  </si>
  <si>
    <t>SINDCONT 2023</t>
  </si>
  <si>
    <r>
      <t xml:space="preserve">TÉCNICO EM MEIO AMBIENTE </t>
    </r>
    <r>
      <rPr>
        <b/>
        <sz val="11"/>
        <color rgb="FFFF0000"/>
        <rFont val="Calibri"/>
        <family val="2"/>
        <scheme val="minor"/>
      </rPr>
      <t>(CBO 3212-10)</t>
    </r>
  </si>
  <si>
    <t>Santarém/PA</t>
  </si>
  <si>
    <t>200386 - SR/PF/PA</t>
  </si>
  <si>
    <t>MÉDIA DE MERCADO 2024</t>
  </si>
  <si>
    <t>01 MS</t>
  </si>
  <si>
    <r>
      <t xml:space="preserve">TÉCNICO QUÍMICA </t>
    </r>
    <r>
      <rPr>
        <b/>
        <sz val="11"/>
        <color rgb="FFFF0000"/>
        <rFont val="Calibri"/>
        <family val="2"/>
        <scheme val="minor"/>
      </rPr>
      <t>(CBO 3111-05)</t>
    </r>
  </si>
  <si>
    <t>DOURADOS/MS</t>
  </si>
  <si>
    <t>200354 - SR/PF/MS</t>
  </si>
  <si>
    <t>SINTRA QUÍMICA 2023</t>
  </si>
  <si>
    <r>
      <t xml:space="preserve">TÉCNICO EM MECÂNICA DE AUTOMÓVEIS </t>
    </r>
    <r>
      <rPr>
        <b/>
        <sz val="11"/>
        <color rgb="FFFF0000"/>
        <rFont val="Calibri"/>
        <family val="2"/>
        <scheme val="minor"/>
      </rPr>
      <t>(CBO 9144-05)</t>
    </r>
  </si>
  <si>
    <t>SINTICOP 2023</t>
  </si>
  <si>
    <t>Ponta Porã/MS</t>
  </si>
  <si>
    <r>
      <t xml:space="preserve">TÉCNICO EM MECÂNICA DE AUTOMOTORES A DIESEL, exceto tratores </t>
    </r>
    <r>
      <rPr>
        <b/>
        <sz val="11"/>
        <color rgb="FFFF0000"/>
        <rFont val="Calibri"/>
        <family val="2"/>
        <scheme val="minor"/>
      </rPr>
      <t>(CBO 9144-25)</t>
    </r>
  </si>
  <si>
    <t>02 PR</t>
  </si>
  <si>
    <t>GUAÍRA/PR</t>
  </si>
  <si>
    <t>200364 - SR/PF/PR</t>
  </si>
  <si>
    <t>CCT/2024/SIND. TRAB. IND. MET. MAQ. MEC MAT. ELETR. DE VEIC. AUTOMOTORES 2023</t>
  </si>
  <si>
    <t>03 FOZ/PR</t>
  </si>
  <si>
    <t>Foz do Iguaçu/PR</t>
  </si>
  <si>
    <t>200366 - DPF/FIG/PR</t>
  </si>
  <si>
    <t>CCT/SINDFAR/PR/2023</t>
  </si>
  <si>
    <t>TOTAL 24 MESES</t>
  </si>
  <si>
    <t>Discriminação dos Serviços (dados referentes à contratação)</t>
  </si>
  <si>
    <t>Data da apresentação da proposta (dia/mês/ano)</t>
  </si>
  <si>
    <t>___/____/2024</t>
  </si>
  <si>
    <t>Ano Acordo, Convenção ou Sentença Normativa em Dissídio Coletivo</t>
  </si>
  <si>
    <t>CCT/2023/SIND. TRAB. IND. MET. MAQ. MEC MAT. ELETR. DE VEIC. AUTOMOTORES</t>
  </si>
  <si>
    <t>Nº de meses de execução contratual</t>
  </si>
  <si>
    <t>Data base da categoria</t>
  </si>
  <si>
    <t>SESSÃO PÚBLICA: ____/____/2024  às       horas (Horário de Brasília/DF)</t>
  </si>
  <si>
    <r>
      <t>d) CSLL</t>
    </r>
    <r>
      <rPr>
        <b/>
        <sz val="11"/>
        <color rgb="FF0000FF"/>
        <rFont val="Calibri"/>
        <family val="2"/>
        <scheme val="minor"/>
      </rPr>
      <t>-Em face dos Acórdãos TCU nºs 950/2007-P e 205/2018-P, o licitante não pode cotar expressamente este tributo.</t>
    </r>
  </si>
  <si>
    <r>
      <t xml:space="preserve">Salário-Base </t>
    </r>
    <r>
      <rPr>
        <b/>
        <sz val="11"/>
        <color rgb="FFFF0000"/>
        <rFont val="Calibri"/>
        <family val="2"/>
        <scheme val="minor"/>
      </rPr>
      <t>(CLÁUSULA 3 CCT-2023 SIND. TRAB. MEC. MAT. DE VEIC. AUTO/PR)</t>
    </r>
  </si>
  <si>
    <r>
      <t xml:space="preserve">Adicional de Periculosidade </t>
    </r>
    <r>
      <rPr>
        <b/>
        <sz val="11"/>
        <color rgb="FFFF0000"/>
        <rFont val="Calibri"/>
        <family val="2"/>
        <scheme val="minor"/>
      </rPr>
      <t>(Laudo Local)</t>
    </r>
  </si>
  <si>
    <r>
      <t xml:space="preserve">RAT x FAP </t>
    </r>
    <r>
      <rPr>
        <b/>
        <sz val="8"/>
        <color rgb="FFFF0000"/>
        <rFont val="Calibri"/>
        <family val="2"/>
        <scheme val="minor"/>
      </rPr>
      <t>Cálculo do valor: % do SAT x FAP (Fator Acidentário de Prevenção de cada empresa)</t>
    </r>
  </si>
  <si>
    <r>
      <t xml:space="preserve">Auxílio-Refeição/Alimentação </t>
    </r>
    <r>
      <rPr>
        <b/>
        <sz val="11"/>
        <color rgb="FFFF0000"/>
        <rFont val="Calibri"/>
        <family val="2"/>
        <scheme val="minor"/>
      </rPr>
      <t>Cálculo do valor = [(média dias úteis ano x VA)</t>
    </r>
  </si>
  <si>
    <r>
      <t xml:space="preserve">Transporte </t>
    </r>
    <r>
      <rPr>
        <b/>
        <sz val="11"/>
        <color rgb="FFFF0000"/>
        <rFont val="Calibri"/>
        <family val="2"/>
        <scheme val="minor"/>
      </rPr>
      <t>Cálculo do valor: [(2xVTxmédia dias úteis ano) – (6%xSB)]</t>
    </r>
    <r>
      <rPr>
        <b/>
        <sz val="11"/>
        <rFont val="Calibri"/>
        <family val="2"/>
        <scheme val="minor"/>
      </rPr>
      <t xml:space="preserve"> </t>
    </r>
    <r>
      <rPr>
        <b/>
        <sz val="11"/>
        <color rgb="FF0000FF"/>
        <rFont val="Calibri"/>
        <family val="2"/>
        <scheme val="minor"/>
      </rPr>
      <t>Neste caso não compensa</t>
    </r>
    <r>
      <rPr>
        <b/>
        <sz val="11"/>
        <rFont val="Calibri"/>
        <family val="2"/>
        <scheme val="minor"/>
      </rPr>
      <t xml:space="preserve"> </t>
    </r>
  </si>
  <si>
    <r>
      <t xml:space="preserve">Submódulo 2.2 - Encargos Previdenciários (GPS), Fundo de Garantia por Tempo de Serviço (FGTS) e outras contribuições </t>
    </r>
    <r>
      <rPr>
        <b/>
        <sz val="11"/>
        <color rgb="FF0000FF"/>
        <rFont val="Calibri"/>
        <family val="2"/>
        <scheme val="minor"/>
      </rPr>
      <t>(Base de cálculo: Módulo 1 + Submódulo 2.1)</t>
    </r>
  </si>
  <si>
    <r>
      <t xml:space="preserve">Base de cálculo para o Custo de Reposição do Profissional Ausente (substituto): BCCPA = MÓDULO 1 + MÓDULO 2 + MÓDULO 3 - </t>
    </r>
    <r>
      <rPr>
        <b/>
        <sz val="11"/>
        <color rgb="FFFF0000"/>
        <rFont val="Calibri"/>
        <family val="2"/>
        <scheme val="minor"/>
      </rPr>
      <t>exceto o Afastamento Maternidade,  pois que a Rem e o 13º são compensados pelo INSS</t>
    </r>
  </si>
  <si>
    <r>
      <t xml:space="preserve">MÓD 2 </t>
    </r>
    <r>
      <rPr>
        <b/>
        <sz val="11"/>
        <color rgb="FFFF0000"/>
        <rFont val="Calibri"/>
        <family val="2"/>
        <scheme val="minor"/>
      </rPr>
      <t>(sem VA e VT)</t>
    </r>
    <r>
      <rPr>
        <b/>
        <sz val="11"/>
        <color rgb="FF0000FF"/>
        <rFont val="Calibri"/>
        <family val="2"/>
        <scheme val="minor"/>
      </rPr>
      <t>=</t>
    </r>
  </si>
  <si>
    <t>Nota 1: Os percentuais dos encargos previdenciários, do FGTS e demais contribuições são aqueles estabelecidos pela legislação vigente.
Nota 2: O SAT a depender do grau de risco do serviço irá variar entre 1%, para risco leve, de 2% para risco médio, e de 3% para risco grave.
Nota 3: Esses percentuais incidem sobre o Módulo 1, o Submódulo 2.1.</t>
  </si>
  <si>
    <t>2. QUADRO RESUMO DO CUSTO POR EMPREGADO</t>
  </si>
  <si>
    <t>Quadro Resumo do Módulo 2 – Encargos e Benefícios Anuais, Mensais e Diários</t>
  </si>
  <si>
    <t>Nº PROCESSO: 08059.000308/2024-77 - DITEC/PF</t>
  </si>
  <si>
    <t>LICITAÇÃO Nº: ___/2024</t>
  </si>
  <si>
    <t>Lucro Real, comprovar. Item 5.6.9-12. do TR</t>
  </si>
  <si>
    <t>Comprovar. Item 5.6.13-14. TR</t>
  </si>
  <si>
    <r>
      <t>Técnico em Contabilidade) (</t>
    </r>
    <r>
      <rPr>
        <b/>
        <sz val="11"/>
        <color rgb="FFFF0000"/>
        <rFont val="Calibri"/>
        <family val="2"/>
        <scheme val="minor"/>
      </rPr>
      <t>CBO 3511-05</t>
    </r>
    <r>
      <rPr>
        <b/>
        <sz val="11"/>
        <color theme="1"/>
        <rFont val="Calibri"/>
        <family val="2"/>
        <scheme val="minor"/>
      </rPr>
      <t>) - Juazeiro/BA</t>
    </r>
  </si>
  <si>
    <r>
      <t>Técnico em Química (</t>
    </r>
    <r>
      <rPr>
        <b/>
        <sz val="11"/>
        <color rgb="FFFF0000"/>
        <rFont val="Calibri"/>
        <family val="2"/>
        <scheme val="minor"/>
      </rPr>
      <t>CBO 3111-05</t>
    </r>
    <r>
      <rPr>
        <b/>
        <sz val="11"/>
        <color theme="1"/>
        <rFont val="Calibri"/>
        <family val="2"/>
        <scheme val="minor"/>
      </rPr>
      <t>) - Dourados/MS</t>
    </r>
  </si>
  <si>
    <r>
      <t>Mecânico de manutenção de automóveis, motocicletas e veículos similares (</t>
    </r>
    <r>
      <rPr>
        <b/>
        <sz val="11"/>
        <color rgb="FFFF0000"/>
        <rFont val="Calibri"/>
        <family val="2"/>
        <scheme val="minor"/>
      </rPr>
      <t>CBO 9144-05</t>
    </r>
    <r>
      <rPr>
        <b/>
        <sz val="11"/>
        <color theme="1"/>
        <rFont val="Calibri"/>
        <family val="2"/>
        <scheme val="minor"/>
      </rPr>
      <t>) - Dourados/MS</t>
    </r>
  </si>
  <si>
    <r>
      <t>Técnico em Química (</t>
    </r>
    <r>
      <rPr>
        <b/>
        <sz val="11"/>
        <color rgb="FFFF0000"/>
        <rFont val="Calibri"/>
        <family val="2"/>
        <scheme val="minor"/>
      </rPr>
      <t>CBO 3111-05</t>
    </r>
    <r>
      <rPr>
        <b/>
        <sz val="11"/>
        <color theme="1"/>
        <rFont val="Calibri"/>
        <family val="2"/>
        <scheme val="minor"/>
      </rPr>
      <t>) - Foz do Iguaçu/PF</t>
    </r>
  </si>
  <si>
    <r>
      <t>Mecânico de manutenção de automóveis, motocicletas e veículos similares (</t>
    </r>
    <r>
      <rPr>
        <b/>
        <sz val="11"/>
        <color rgb="FFFF0000"/>
        <rFont val="Calibri"/>
        <family val="2"/>
        <scheme val="minor"/>
      </rPr>
      <t>CBO 9144-05</t>
    </r>
    <r>
      <rPr>
        <b/>
        <sz val="11"/>
        <color theme="1"/>
        <rFont val="Calibri"/>
        <family val="2"/>
        <scheme val="minor"/>
      </rPr>
      <t>) - Foz do Iguaçu/PR</t>
    </r>
  </si>
  <si>
    <r>
      <t>Mecânico de manutenção de automóveis, motocicletas e veículos similares (</t>
    </r>
    <r>
      <rPr>
        <b/>
        <sz val="11"/>
        <color rgb="FFFF0000"/>
        <rFont val="Calibri"/>
        <family val="2"/>
        <scheme val="minor"/>
      </rPr>
      <t>CBO 9144-05</t>
    </r>
    <r>
      <rPr>
        <b/>
        <sz val="11"/>
        <color theme="1"/>
        <rFont val="Calibri"/>
        <family val="2"/>
        <scheme val="minor"/>
      </rPr>
      <t>) - Ponta Porã/MS</t>
    </r>
  </si>
  <si>
    <r>
      <t>Mecânico de veículos automotores a diesel (exceto tratores) (</t>
    </r>
    <r>
      <rPr>
        <b/>
        <sz val="11"/>
        <color rgb="FFFF0000"/>
        <rFont val="Calibri"/>
        <family val="2"/>
        <scheme val="minor"/>
      </rPr>
      <t>CBO 9144-25</t>
    </r>
    <r>
      <rPr>
        <b/>
        <sz val="11"/>
        <color theme="1"/>
        <rFont val="Calibri"/>
        <family val="2"/>
        <scheme val="minor"/>
      </rPr>
      <t>) - Ponta Porã/MS</t>
    </r>
  </si>
  <si>
    <r>
      <t>Mecânico de manutenção de automóveis, motocicletas e veículos similares (</t>
    </r>
    <r>
      <rPr>
        <b/>
        <sz val="11"/>
        <color rgb="FFFF0000"/>
        <rFont val="Calibri"/>
        <family val="2"/>
        <scheme val="minor"/>
      </rPr>
      <t>CBO 9144-05</t>
    </r>
    <r>
      <rPr>
        <b/>
        <sz val="11"/>
        <color theme="1"/>
        <rFont val="Calibri"/>
        <family val="2"/>
        <scheme val="minor"/>
      </rPr>
      <t>) - Guaíra/PR</t>
    </r>
  </si>
  <si>
    <r>
      <t>Mecânico de veículos automotores a diesel (exceto tratores) (</t>
    </r>
    <r>
      <rPr>
        <b/>
        <sz val="11"/>
        <color rgb="FFFF0000"/>
        <rFont val="Calibri"/>
        <family val="2"/>
        <scheme val="minor"/>
      </rPr>
      <t>CBO 9144-25</t>
    </r>
    <r>
      <rPr>
        <b/>
        <sz val="11"/>
        <color theme="1"/>
        <rFont val="Calibri"/>
        <family val="2"/>
        <scheme val="minor"/>
      </rPr>
      <t>) - Guaíra/PR</t>
    </r>
  </si>
  <si>
    <r>
      <t>Mecânico de veículos automotores a diesel (exceto tratores) (</t>
    </r>
    <r>
      <rPr>
        <b/>
        <sz val="11"/>
        <color rgb="FFFF0000"/>
        <rFont val="Calibri"/>
        <family val="2"/>
        <scheme val="minor"/>
      </rPr>
      <t>CBO 9144-25</t>
    </r>
    <r>
      <rPr>
        <b/>
        <sz val="11"/>
        <color theme="1"/>
        <rFont val="Calibri"/>
        <family val="2"/>
        <scheme val="minor"/>
      </rPr>
      <t>) - Foz do Iguaçu/PR</t>
    </r>
  </si>
  <si>
    <r>
      <t>Técnico em Meio Ambiente (</t>
    </r>
    <r>
      <rPr>
        <b/>
        <sz val="11"/>
        <color rgb="FFFF0000"/>
        <rFont val="Calibri"/>
        <family val="2"/>
        <scheme val="minor"/>
      </rPr>
      <t>CBO 3212-10</t>
    </r>
    <r>
      <rPr>
        <b/>
        <sz val="11"/>
        <color theme="1"/>
        <rFont val="Calibri"/>
        <family val="2"/>
        <scheme val="minor"/>
      </rPr>
      <t>) - Santarém/PA</t>
    </r>
  </si>
  <si>
    <t>SINDCONT-BA 2023</t>
  </si>
  <si>
    <r>
      <t xml:space="preserve">Salário-Base </t>
    </r>
    <r>
      <rPr>
        <b/>
        <sz val="11"/>
        <color rgb="FFFF0000"/>
        <rFont val="Calibri"/>
        <family val="2"/>
        <scheme val="minor"/>
      </rPr>
      <t>(CLÁUSULA 4 CCT-2023 SINDCONT/BA)</t>
    </r>
  </si>
  <si>
    <t>NÃO CONSTA</t>
  </si>
  <si>
    <r>
      <t xml:space="preserve">Salário-Base </t>
    </r>
    <r>
      <rPr>
        <b/>
        <sz val="11"/>
        <color rgb="FFFF0000"/>
        <rFont val="Calibri"/>
        <family val="2"/>
        <scheme val="minor"/>
      </rPr>
      <t>(MÉDIA www.salario.com.br)</t>
    </r>
  </si>
  <si>
    <r>
      <t xml:space="preserve">Transporte </t>
    </r>
    <r>
      <rPr>
        <b/>
        <sz val="11"/>
        <color rgb="FFFF0000"/>
        <rFont val="Calibri"/>
        <family val="2"/>
        <scheme val="minor"/>
      </rPr>
      <t>Cálculo do valor: [(2xVTxmédia dias úteis ano) – (6%xSB)]</t>
    </r>
    <r>
      <rPr>
        <b/>
        <sz val="11"/>
        <rFont val="Calibri"/>
        <family val="2"/>
        <scheme val="minor"/>
      </rPr>
      <t xml:space="preserve"> </t>
    </r>
  </si>
  <si>
    <r>
      <t xml:space="preserve">Transporte </t>
    </r>
    <r>
      <rPr>
        <b/>
        <sz val="11"/>
        <color rgb="FFFF0000"/>
        <rFont val="Calibri"/>
        <family val="2"/>
        <scheme val="minor"/>
      </rPr>
      <t>Cálculo do valor: [(2xVTxmédia dias úteis ano) – (6%xSB)]</t>
    </r>
    <r>
      <rPr>
        <b/>
        <sz val="11"/>
        <rFont val="Calibri"/>
        <family val="2"/>
        <scheme val="minor"/>
      </rPr>
      <t xml:space="preserve"> </t>
    </r>
    <r>
      <rPr>
        <b/>
        <sz val="11"/>
        <color rgb="FF0000FF"/>
        <rFont val="Calibri"/>
        <family val="2"/>
        <scheme val="minor"/>
      </rPr>
      <t>(Cláusula 9a, CCT 2024 SINDCONT/BA)</t>
    </r>
  </si>
  <si>
    <t>SINTRAQUÍMICA 2023</t>
  </si>
  <si>
    <r>
      <t xml:space="preserve">Salário-Base </t>
    </r>
    <r>
      <rPr>
        <b/>
        <sz val="11"/>
        <color rgb="FFFF0000"/>
        <rFont val="Calibri"/>
        <family val="2"/>
        <scheme val="minor"/>
      </rPr>
      <t>(CLÁUSULA 3 CCT-2023 SINTTRAQUÍMICA/MS)</t>
    </r>
  </si>
  <si>
    <t>SINTICOP-MS 2023</t>
  </si>
  <si>
    <r>
      <t>Salário-Base</t>
    </r>
    <r>
      <rPr>
        <b/>
        <sz val="11"/>
        <color rgb="FFFF0000"/>
        <rFont val="Calibri"/>
        <family val="2"/>
        <scheme val="minor"/>
      </rPr>
      <t xml:space="preserve"> (CLÁUSULA 3 CCT-2023 SINTICOP/MS)</t>
    </r>
  </si>
  <si>
    <r>
      <t xml:space="preserve">Salário-Base </t>
    </r>
    <r>
      <rPr>
        <b/>
        <sz val="11"/>
        <color rgb="FFFF0000"/>
        <rFont val="Calibri"/>
        <family val="2"/>
        <scheme val="minor"/>
      </rPr>
      <t>(CLÁUSULA 3 CCT-2023 SINTICOP/MS)</t>
    </r>
  </si>
  <si>
    <r>
      <t xml:space="preserve">Salário-Base </t>
    </r>
    <r>
      <rPr>
        <b/>
        <sz val="11"/>
        <color rgb="FFFF0000"/>
        <rFont val="Calibri"/>
        <family val="2"/>
        <scheme val="minor"/>
      </rPr>
      <t>(CLÁUSULA 3 SINTICOP-MS 2023)</t>
    </r>
  </si>
  <si>
    <r>
      <t xml:space="preserve">a) ISS </t>
    </r>
    <r>
      <rPr>
        <b/>
        <sz val="11"/>
        <color rgb="FFFF0000"/>
        <rFont val="Calibri"/>
        <family val="2"/>
        <scheme val="minor"/>
      </rPr>
      <t>Foz do iguaçu/PR</t>
    </r>
  </si>
  <si>
    <t>CCT/2023/SINDFAR/PR</t>
  </si>
  <si>
    <r>
      <t xml:space="preserve">Salário-Base </t>
    </r>
    <r>
      <rPr>
        <b/>
        <sz val="11"/>
        <color rgb="FFFF0000"/>
        <rFont val="Calibri"/>
        <family val="2"/>
        <scheme val="minor"/>
      </rPr>
      <t>(CLÁUSULA 3 CCT-2023 SINDFAR/PR)</t>
    </r>
  </si>
  <si>
    <r>
      <t xml:space="preserve">B.1) Valor do auxílio-alimentação </t>
    </r>
    <r>
      <rPr>
        <b/>
        <sz val="11"/>
        <color rgb="FF0000FF"/>
        <rFont val="Calibri"/>
        <family val="2"/>
        <scheme val="minor"/>
      </rPr>
      <t>CLÁUSULA 18ª CCT/2023/SINDFAR/PF R$ 466,00 - R$ 5,00</t>
    </r>
  </si>
  <si>
    <r>
      <t>B.1) Valor do auxílio-alimentação</t>
    </r>
    <r>
      <rPr>
        <b/>
        <sz val="11"/>
        <color rgb="FF0000FF"/>
        <rFont val="Calibri"/>
        <family val="2"/>
        <scheme val="minor"/>
      </rPr>
      <t xml:space="preserve"> (Cláusula 11a, CCT 2023 SINTICOP/MS) Desconto 1% (R$ 284,50)</t>
    </r>
  </si>
  <si>
    <r>
      <t xml:space="preserve">B.1) Valor do auxílio-alimentação  </t>
    </r>
    <r>
      <rPr>
        <b/>
        <sz val="11"/>
        <color rgb="FF0000FF"/>
        <rFont val="Calibri"/>
        <family val="2"/>
        <scheme val="minor"/>
      </rPr>
      <t>(Cláusula 11a, CCT 2023 SINTICOP/MS) Desconto 1% (R$ 284,50)</t>
    </r>
  </si>
  <si>
    <r>
      <t xml:space="preserve">B.1) Valor do auxílio-alimentação </t>
    </r>
    <r>
      <rPr>
        <b/>
        <sz val="11"/>
        <color rgb="FF0000FF"/>
        <rFont val="Calibri"/>
        <family val="2"/>
        <scheme val="minor"/>
      </rPr>
      <t xml:space="preserve"> (Cláusula 11a, CCT 2023 SINTICOP/MS) Desconto 1% (R$ 284,50)</t>
    </r>
  </si>
  <si>
    <t>A.4) Participação do empregado em percentual do salário-base</t>
  </si>
  <si>
    <r>
      <t xml:space="preserve">Incidência do FGTS sobre o Aviso Prévio Indenizado. </t>
    </r>
    <r>
      <rPr>
        <b/>
        <sz val="11"/>
        <color rgb="FFFF0000"/>
        <rFont val="Calibri"/>
        <family val="2"/>
        <scheme val="minor"/>
      </rPr>
      <t>% FGTS sobre API. 8%*0,42% ≅ 0,03%</t>
    </r>
  </si>
  <si>
    <r>
      <t xml:space="preserve">Multa do FGTS e contribuição social sobre o Aviso Prévio Indenizado. </t>
    </r>
    <r>
      <rPr>
        <b/>
        <sz val="11"/>
        <color rgb="FFFF0000"/>
        <rFont val="Calibri"/>
        <family val="2"/>
        <scheme val="minor"/>
      </rPr>
      <t>= (((1+2/12+(1/3*1/12))*(0,08*0,4*0,9*100%))) = 3,44%</t>
    </r>
  </si>
  <si>
    <r>
      <t>Incidência de GPS, FGTS e outras contribuições sobre o Aviso Prévio Trabalhado</t>
    </r>
    <r>
      <rPr>
        <b/>
        <sz val="11"/>
        <color rgb="FFFF0000"/>
        <rFont val="Calibri"/>
        <family val="2"/>
        <scheme val="minor"/>
      </rPr>
      <t xml:space="preserve"> (36,80%*1,94%) = 0,71%</t>
    </r>
  </si>
  <si>
    <t>% sobre REM</t>
  </si>
  <si>
    <r>
      <t xml:space="preserve">Aviso Prévio trabalhado </t>
    </r>
    <r>
      <rPr>
        <b/>
        <sz val="11"/>
        <color rgb="FF0000FF"/>
        <rFont val="Calibri"/>
        <family val="2"/>
        <scheme val="minor"/>
      </rPr>
      <t xml:space="preserve">APT </t>
    </r>
    <r>
      <rPr>
        <b/>
        <sz val="11"/>
        <rFont val="Calibri"/>
        <family val="2"/>
        <scheme val="minor"/>
      </rPr>
      <t xml:space="preserve">= (07/30)/12*100 = 1,94%. </t>
    </r>
    <r>
      <rPr>
        <b/>
        <sz val="11"/>
        <color rgb="FFFF0000"/>
        <rFont val="Calibri"/>
        <family val="2"/>
        <scheme val="minor"/>
      </rPr>
      <t>NO SEGUNDO ANO o saldo percentual será de 0,194% (1,94/30x3) apenas referente aos 3 dias que serão acrescentados.</t>
    </r>
    <r>
      <rPr>
        <b/>
        <sz val="11"/>
        <rFont val="Calibri"/>
        <family val="2"/>
        <scheme val="minor"/>
      </rPr>
      <t xml:space="preserve"> Acórdão 1186/2017 - Plenário</t>
    </r>
  </si>
  <si>
    <t xml:space="preserve">% sobre REM </t>
  </si>
  <si>
    <r>
      <t xml:space="preserve">Substituto na cobertura de Ausência Legais. </t>
    </r>
    <r>
      <rPr>
        <b/>
        <sz val="11"/>
        <color rgb="FFFF0000"/>
        <rFont val="Calibri"/>
        <family val="2"/>
        <scheme val="minor"/>
      </rPr>
      <t>(1/30/12)*100% =</t>
    </r>
    <r>
      <rPr>
        <b/>
        <sz val="11"/>
        <rFont val="Calibri"/>
        <family val="2"/>
        <scheme val="minor"/>
      </rPr>
      <t xml:space="preserve"> 0,28%</t>
    </r>
  </si>
  <si>
    <r>
      <t xml:space="preserve">Substituto na cobertura de Licença-Paternidade. </t>
    </r>
    <r>
      <rPr>
        <b/>
        <sz val="11"/>
        <color rgb="FFFF0000"/>
        <rFont val="Calibri"/>
        <family val="2"/>
        <scheme val="minor"/>
      </rPr>
      <t xml:space="preserve">(5/30/12)*0,015*100% = </t>
    </r>
    <r>
      <rPr>
        <b/>
        <sz val="11"/>
        <rFont val="Calibri"/>
        <family val="2"/>
        <scheme val="minor"/>
      </rPr>
      <t>0,02%</t>
    </r>
  </si>
  <si>
    <r>
      <t xml:space="preserve">Substituto durante ausência por doença. </t>
    </r>
    <r>
      <rPr>
        <b/>
        <sz val="11"/>
        <color rgb="FFFF0000"/>
        <rFont val="Calibri"/>
        <family val="2"/>
        <scheme val="minor"/>
      </rPr>
      <t>(5/30/12)*100%</t>
    </r>
    <r>
      <rPr>
        <b/>
        <sz val="11"/>
        <rFont val="Calibri"/>
        <family val="2"/>
        <scheme val="minor"/>
      </rPr>
      <t xml:space="preserve"> = 1,39%</t>
    </r>
  </si>
  <si>
    <r>
      <t>Substituto na cobertura de Férias.(1/12)</t>
    </r>
    <r>
      <rPr>
        <b/>
        <sz val="11"/>
        <color rgb="FFFF0000"/>
        <rFont val="Calibri"/>
        <family val="2"/>
        <scheme val="minor"/>
      </rPr>
      <t xml:space="preserve"> 1 remuneração (Mód.1) dividada por 12</t>
    </r>
    <r>
      <rPr>
        <b/>
        <sz val="11"/>
        <rFont val="Calibri"/>
        <family val="2"/>
        <scheme val="minor"/>
      </rPr>
      <t xml:space="preserve"> = 8,33%</t>
    </r>
  </si>
  <si>
    <r>
      <t xml:space="preserve">Aviso Prévio Indenizado </t>
    </r>
    <r>
      <rPr>
        <b/>
        <sz val="11"/>
        <color rgb="FF0000FF"/>
        <rFont val="Calibri"/>
        <family val="2"/>
        <scheme val="minor"/>
      </rPr>
      <t>API</t>
    </r>
    <r>
      <rPr>
        <b/>
        <sz val="11"/>
        <rFont val="Calibri"/>
        <family val="2"/>
        <scheme val="minor"/>
      </rPr>
      <t xml:space="preserve">. </t>
    </r>
    <r>
      <rPr>
        <b/>
        <sz val="11"/>
        <color rgb="FFFF0000"/>
        <rFont val="Calibri"/>
        <family val="2"/>
        <scheme val="minor"/>
      </rPr>
      <t>% API (1/12*0,05*100%) = 0,42%</t>
    </r>
  </si>
  <si>
    <r>
      <t>Multa do FGTS sobre o Aviso Prévio Trabalhado e sobre o Aviso Prévio Indenizado.</t>
    </r>
    <r>
      <rPr>
        <b/>
        <sz val="11"/>
        <color rgb="FFFF0000"/>
        <rFont val="Calibri"/>
        <family val="2"/>
        <scheme val="minor"/>
      </rPr>
      <t xml:space="preserve"> (0,08*0,0194*0,4*100%)</t>
    </r>
    <r>
      <rPr>
        <b/>
        <sz val="11"/>
        <rFont val="Calibri"/>
        <family val="2"/>
        <scheme val="minor"/>
      </rPr>
      <t xml:space="preserve"> = 0,062%</t>
    </r>
  </si>
  <si>
    <r>
      <t xml:space="preserve">Substituto na cobertura de Afastamento Maternidade. % Custo Estimado (CEST) </t>
    </r>
    <r>
      <rPr>
        <b/>
        <sz val="11"/>
        <color rgb="FFFF0000"/>
        <rFont val="Calibri"/>
        <family val="2"/>
        <scheme val="minor"/>
      </rPr>
      <t>= 11,11% × 5,28% × 50% =</t>
    </r>
    <r>
      <rPr>
        <b/>
        <sz val="11"/>
        <rFont val="Calibri"/>
        <family val="2"/>
        <scheme val="minor"/>
      </rPr>
      <t xml:space="preserve"> 0,29%</t>
    </r>
  </si>
  <si>
    <r>
      <t xml:space="preserve">Substituto na cobertura de Ausência por acidente de trabalho. </t>
    </r>
    <r>
      <rPr>
        <b/>
        <sz val="11"/>
        <color rgb="FFFF0000"/>
        <rFont val="Calibri"/>
        <family val="2"/>
        <scheme val="minor"/>
      </rPr>
      <t xml:space="preserve">(1/12)*0,0178*100%/2 = </t>
    </r>
    <r>
      <rPr>
        <b/>
        <sz val="11"/>
        <rFont val="Calibri"/>
        <family val="2"/>
        <scheme val="minor"/>
      </rPr>
      <t>0,07%</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</si>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</sst>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000"/>
    <numFmt numFmtId="165" formatCode="_(* #,##0.00_);_(* \(#,##0.00\);_(* \-??_);_(@_)"/>
    <numFmt numFmtId="166" formatCode="&quot;R$&quot;\ #,##0.00"/>
    <numFmt numFmtId="167" formatCode="0.000%"/>
    <numFmt numFmtId="168" formatCode="&quot;R$&quot;\ #,##0.0000"/>
  </numFmts>
  <fonts count="29"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color rgb="FF000000"/>
      <name val="Calibri"/>
      <family val="2"/>
      <scheme val="minor"/>
    </font>
    <font>
      <b/>
      <sz val="11"/>
      <color rgb="FF000000"/>
      <name val="Calibri"/>
      <family val="2"/>
      <scheme val="minor"/>
    </font>
    <font>
      <b/>
      <sz val="11"/>
      <color indexed="8"/>
      <name val="Calibri"/>
      <family val="2"/>
      <scheme val="minor"/>
    </font>
    <font>
      <b/>
      <sz val="11"/>
      <color rgb="FFFF0000"/>
      <name val="Calibri"/>
      <family val="2"/>
      <scheme val="minor"/>
    </font>
    <font>
      <sz val="11"/>
      <name val="Calibri"/>
      <family val="2"/>
      <scheme val="minor"/>
    </font>
    <font>
      <b/>
      <sz val="11"/>
      <color rgb="FF3333FF"/>
      <name val="Calibri"/>
      <family val="2"/>
      <scheme val="minor"/>
    </font>
    <font>
      <b/>
      <sz val="10"/>
      <color rgb="FF3333FF"/>
      <name val="Calibri"/>
      <family val="2"/>
      <scheme val="minor"/>
    </font>
    <font>
      <sz val="12"/>
      <color theme="1"/>
      <name val="Calibri"/>
      <family val="2"/>
      <scheme val="minor"/>
    </font>
    <font>
      <b/>
      <sz val="12"/>
      <name val="Calibri"/>
      <family val="2"/>
      <scheme val="minor"/>
    </font>
    <font>
      <b/>
      <sz val="11"/>
      <name val="Calibri"/>
      <family val="2"/>
      <scheme val="minor"/>
    </font>
    <font>
      <b/>
      <sz val="11"/>
      <color rgb="FF0000FF"/>
      <name val="Calibri"/>
      <family val="2"/>
      <scheme val="minor"/>
    </font>
    <font>
      <b/>
      <sz val="8"/>
      <color rgb="FFFF0000"/>
      <name val="Calibri"/>
      <family val="2"/>
      <scheme val="minor"/>
    </font>
    <font>
      <b/>
      <sz val="11"/>
      <color theme="0"/>
      <name val="Calibri"/>
      <family val="2"/>
      <scheme val="minor"/>
    </font>
    <font>
      <sz val="11"/>
      <color indexed="8"/>
      <name val="Calibri"/>
      <family val="2"/>
      <scheme val="minor"/>
    </font>
    <font>
      <sz val="11"/>
      <color rgb="FF009900"/>
      <name val="Calibri"/>
      <family val="2"/>
      <scheme val="minor"/>
    </font>
    <font>
      <b/>
      <sz val="11"/>
      <color rgb="FF006B6B"/>
      <name val="Calibri"/>
      <family val="2"/>
      <scheme val="minor"/>
    </font>
    <font>
      <b/>
      <strike/>
      <sz val="11"/>
      <color rgb="FF009900"/>
      <name val="Calibri"/>
      <family val="2"/>
      <scheme val="minor"/>
    </font>
    <font>
      <b/>
      <sz val="11"/>
      <color rgb="FF009900"/>
      <name val="Calibri"/>
      <family val="2"/>
      <scheme val="minor"/>
    </font>
    <font>
      <sz val="8"/>
      <color theme="1"/>
      <name val="Calibri"/>
      <family val="2"/>
      <scheme val="minor"/>
    </font>
    <font>
      <sz val="8"/>
      <name val="Calibri"/>
      <family val="2"/>
      <scheme val="minor"/>
    </font>
    <font>
      <b/>
      <sz val="8"/>
      <name val="Calibri"/>
      <family val="2"/>
      <scheme val="minor"/>
    </font>
    <font>
      <b/>
      <sz val="9"/>
      <color indexed="81"/>
      <name val="Segoe UI"/>
      <family val="2"/>
    </font>
    <font>
      <b/>
      <sz val="8"/>
      <color rgb="FF0000FF"/>
      <name val="Calibri"/>
      <family val="2"/>
      <scheme val="minor"/>
    </font>
    <font>
      <sz val="10"/>
      <color theme="1"/>
      <name val="Calibri"/>
      <family val="2"/>
      <scheme val="minor"/>
    </font>
    <font>
      <b/>
      <sz val="10"/>
      <color theme="1"/>
      <name val="Calibri"/>
      <family val="2"/>
      <scheme val="minor"/>
    </font>
  </fonts>
  <fills count="10">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rgb="FFFFFFFF"/>
        <bgColor rgb="FFFFFFCC"/>
      </patternFill>
    </fill>
    <fill>
      <patternFill patternType="solid">
        <fgColor theme="8" tint="0.39997558519241921"/>
        <bgColor rgb="FFFFFFCC"/>
      </patternFill>
    </fill>
    <fill>
      <patternFill patternType="solid">
        <fgColor theme="8" tint="0.39997558519241921"/>
        <bgColor indexed="64"/>
      </patternFill>
    </fill>
    <fill>
      <patternFill patternType="solid">
        <fgColor rgb="FF00B0F0"/>
        <bgColor indexed="64"/>
      </patternFill>
    </fill>
    <fill>
      <patternFill patternType="solid">
        <fgColor theme="4" tint="-0.249977111117893"/>
        <bgColor rgb="FFFFFFCC"/>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165" fontId="2" fillId="0" borderId="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7">
    <xf numFmtId="0" fontId="0" fillId="0" borderId="0" xfId="0"/>
    <xf numFmtId="0" fontId="4" fillId="0" borderId="0" xfId="0" applyFont="1"/>
    <xf numFmtId="0" fontId="5" fillId="0" borderId="1" xfId="0" applyFont="1" applyBorder="1" applyAlignment="1">
      <alignment horizontal="center" vertical="center"/>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center"/>
    </xf>
    <xf numFmtId="0" fontId="9" fillId="0" borderId="1" xfId="0" applyFont="1" applyBorder="1" applyAlignment="1">
      <alignment horizontal="center"/>
    </xf>
    <xf numFmtId="0" fontId="8"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4" fontId="7" fillId="0" borderId="1" xfId="0" applyNumberFormat="1" applyFont="1" applyBorder="1" applyAlignment="1">
      <alignment horizontal="center"/>
    </xf>
    <xf numFmtId="0" fontId="4" fillId="0" borderId="0" xfId="0" applyFont="1" applyAlignment="1">
      <alignment horizontal="center"/>
    </xf>
    <xf numFmtId="4" fontId="4" fillId="0" borderId="0" xfId="0" applyNumberFormat="1" applyFont="1"/>
    <xf numFmtId="0" fontId="11" fillId="0" borderId="2" xfId="0" applyFont="1" applyBorder="1"/>
    <xf numFmtId="0" fontId="13" fillId="5"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5" borderId="1" xfId="0" applyFont="1" applyFill="1" applyBorder="1" applyAlignment="1">
      <alignment horizontal="center" vertical="center"/>
    </xf>
    <xf numFmtId="0" fontId="14" fillId="0" borderId="1" xfId="0" applyFont="1" applyBorder="1" applyAlignment="1">
      <alignment horizontal="justify" vertical="center" wrapText="1"/>
    </xf>
    <xf numFmtId="0" fontId="14" fillId="0" borderId="1" xfId="0" applyFont="1" applyBorder="1" applyAlignment="1">
      <alignment horizontal="right" vertical="center" wrapText="1"/>
    </xf>
    <xf numFmtId="0" fontId="13" fillId="0" borderId="1" xfId="0" applyFont="1" applyBorder="1" applyAlignment="1">
      <alignment horizontal="left" vertical="center" wrapText="1"/>
    </xf>
    <xf numFmtId="0" fontId="13" fillId="5" borderId="1" xfId="0" applyFont="1" applyFill="1" applyBorder="1" applyAlignment="1">
      <alignment horizontal="center"/>
    </xf>
    <xf numFmtId="4" fontId="13" fillId="5" borderId="1" xfId="0" applyNumberFormat="1" applyFont="1" applyFill="1" applyBorder="1" applyAlignment="1">
      <alignment horizontal="center" vertical="center"/>
    </xf>
    <xf numFmtId="4" fontId="13" fillId="5" borderId="1"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xf numFmtId="0" fontId="0" fillId="0" borderId="4" xfId="0" applyBorder="1"/>
    <xf numFmtId="0" fontId="0" fillId="5" borderId="1" xfId="0" applyFill="1" applyBorder="1" applyAlignment="1">
      <alignment horizontal="center" vertical="center"/>
    </xf>
    <xf numFmtId="0" fontId="11" fillId="0" borderId="4" xfId="0" applyFont="1" applyBorder="1"/>
    <xf numFmtId="0" fontId="8" fillId="0" borderId="2" xfId="0" applyFont="1" applyBorder="1"/>
    <xf numFmtId="0" fontId="8" fillId="4" borderId="2" xfId="0" applyFont="1" applyFill="1" applyBorder="1"/>
    <xf numFmtId="0" fontId="8" fillId="0" borderId="4" xfId="0" applyFont="1" applyBorder="1"/>
    <xf numFmtId="0" fontId="0" fillId="0" borderId="5" xfId="0" applyBorder="1"/>
    <xf numFmtId="0" fontId="8" fillId="0" borderId="5" xfId="0" applyFont="1" applyBorder="1"/>
    <xf numFmtId="0" fontId="8" fillId="4" borderId="5" xfId="0" applyFont="1" applyFill="1" applyBorder="1"/>
    <xf numFmtId="0" fontId="8" fillId="0" borderId="0" xfId="0" applyFont="1"/>
    <xf numFmtId="0" fontId="8" fillId="4" borderId="0" xfId="0" applyFont="1" applyFill="1"/>
    <xf numFmtId="0" fontId="3" fillId="0" borderId="1" xfId="0" applyFont="1" applyBorder="1" applyAlignment="1">
      <alignment horizontal="center" vertical="center" wrapText="1"/>
    </xf>
    <xf numFmtId="0" fontId="8" fillId="0" borderId="4" xfId="0" applyFont="1" applyBorder="1" applyAlignment="1">
      <alignment horizontal="left"/>
    </xf>
    <xf numFmtId="0" fontId="8" fillId="0" borderId="2" xfId="0" applyFont="1" applyBorder="1" applyAlignment="1">
      <alignment horizontal="left"/>
    </xf>
    <xf numFmtId="10" fontId="13"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0" fontId="20" fillId="0" borderId="1" xfId="0" applyFont="1" applyBorder="1" applyAlignment="1">
      <alignment horizontal="center" vertical="center"/>
    </xf>
    <xf numFmtId="10" fontId="7" fillId="0" borderId="1" xfId="0" applyNumberFormat="1" applyFont="1" applyBorder="1" applyAlignment="1">
      <alignment horizontal="center" vertical="center"/>
    </xf>
    <xf numFmtId="10"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165" fontId="7" fillId="0" borderId="1" xfId="0" applyNumberFormat="1" applyFont="1" applyBorder="1" applyAlignment="1">
      <alignment horizontal="left"/>
    </xf>
    <xf numFmtId="165" fontId="7" fillId="4" borderId="1" xfId="0" applyNumberFormat="1" applyFont="1" applyFill="1" applyBorder="1" applyAlignment="1">
      <alignment horizontal="left"/>
    </xf>
    <xf numFmtId="0" fontId="8" fillId="0" borderId="4" xfId="0" applyFont="1" applyBorder="1" applyAlignment="1">
      <alignment vertical="center"/>
    </xf>
    <xf numFmtId="0" fontId="8" fillId="0" borderId="2" xfId="0" applyFont="1" applyBorder="1" applyAlignment="1">
      <alignment vertical="center"/>
    </xf>
    <xf numFmtId="165" fontId="8" fillId="0" borderId="2" xfId="0" applyNumberFormat="1" applyFont="1" applyBorder="1" applyAlignment="1">
      <alignment vertical="center"/>
    </xf>
    <xf numFmtId="0" fontId="8" fillId="0" borderId="6" xfId="0" applyFont="1" applyBorder="1"/>
    <xf numFmtId="0" fontId="8" fillId="4" borderId="6" xfId="0" applyFont="1" applyFill="1" applyBorder="1"/>
    <xf numFmtId="4" fontId="13" fillId="3" borderId="1" xfId="0" applyNumberFormat="1" applyFont="1" applyFill="1" applyBorder="1" applyAlignment="1">
      <alignment horizontal="center" vertical="center"/>
    </xf>
    <xf numFmtId="166" fontId="13" fillId="3" borderId="1" xfId="0" applyNumberFormat="1" applyFont="1" applyFill="1" applyBorder="1" applyAlignment="1">
      <alignment horizontal="center" vertical="center"/>
    </xf>
    <xf numFmtId="0" fontId="18" fillId="0" borderId="0" xfId="0" applyFont="1" applyAlignment="1">
      <alignment horizontal="left" vertical="center" wrapText="1"/>
    </xf>
    <xf numFmtId="0" fontId="19" fillId="0" borderId="0" xfId="0" applyFont="1" applyAlignment="1">
      <alignment horizontal="left" vertical="center" wrapText="1"/>
    </xf>
    <xf numFmtId="9" fontId="13" fillId="0" borderId="1"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166" fontId="0" fillId="0" borderId="0" xfId="0" applyNumberFormat="1" applyAlignment="1">
      <alignment vertical="center"/>
    </xf>
    <xf numFmtId="0" fontId="13" fillId="0" borderId="0" xfId="0" applyFont="1" applyAlignment="1">
      <alignment horizontal="center" vertical="center" wrapText="1"/>
    </xf>
    <xf numFmtId="0" fontId="21" fillId="0" borderId="0" xfId="0" applyFont="1" applyAlignment="1">
      <alignment horizontal="center" vertical="center" wrapText="1"/>
    </xf>
    <xf numFmtId="4" fontId="13" fillId="3" borderId="1" xfId="0" applyNumberFormat="1" applyFont="1" applyFill="1" applyBorder="1" applyAlignment="1">
      <alignment horizontal="center" vertical="center" wrapText="1"/>
    </xf>
    <xf numFmtId="166" fontId="13" fillId="0" borderId="1" xfId="0" applyNumberFormat="1" applyFont="1" applyBorder="1" applyAlignment="1">
      <alignment horizontal="center" vertical="center"/>
    </xf>
    <xf numFmtId="166" fontId="13" fillId="5" borderId="1" xfId="0" applyNumberFormat="1" applyFont="1" applyFill="1" applyBorder="1" applyAlignment="1">
      <alignment horizontal="center" vertical="center"/>
    </xf>
    <xf numFmtId="166" fontId="13"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xf>
    <xf numFmtId="4" fontId="13"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166" fontId="7" fillId="3" borderId="1" xfId="0" applyNumberFormat="1" applyFont="1" applyFill="1" applyBorder="1" applyAlignment="1">
      <alignment horizontal="center" vertical="center"/>
    </xf>
    <xf numFmtId="166" fontId="13" fillId="5" borderId="1" xfId="0" applyNumberFormat="1" applyFont="1" applyFill="1" applyBorder="1" applyAlignment="1">
      <alignment horizontal="center" vertical="center" wrapText="1"/>
    </xf>
    <xf numFmtId="0" fontId="26" fillId="0" borderId="4" xfId="0" applyFont="1" applyBorder="1" applyAlignment="1">
      <alignment vertical="center"/>
    </xf>
    <xf numFmtId="166" fontId="14" fillId="0" borderId="1" xfId="0" applyNumberFormat="1" applyFont="1" applyBorder="1" applyAlignment="1">
      <alignment horizontal="center" vertical="center" wrapText="1"/>
    </xf>
    <xf numFmtId="166" fontId="13" fillId="5" borderId="1" xfId="0" applyNumberFormat="1" applyFont="1" applyFill="1" applyBorder="1" applyAlignment="1">
      <alignment horizontal="center"/>
    </xf>
    <xf numFmtId="0" fontId="13" fillId="0" borderId="0" xfId="0" applyFont="1" applyAlignment="1">
      <alignment horizontal="right" vertical="center"/>
    </xf>
    <xf numFmtId="166" fontId="13" fillId="6" borderId="1" xfId="0" applyNumberFormat="1" applyFont="1" applyFill="1" applyBorder="1" applyAlignment="1">
      <alignment horizontal="center" vertical="center"/>
    </xf>
    <xf numFmtId="0" fontId="8" fillId="0" borderId="0" xfId="0" applyFont="1" applyAlignment="1">
      <alignment horizontal="left" vertical="center" wrapText="1"/>
    </xf>
    <xf numFmtId="166" fontId="7" fillId="0" borderId="1" xfId="0" applyNumberFormat="1" applyFont="1" applyBorder="1" applyAlignment="1">
      <alignment horizontal="center" vertical="center"/>
    </xf>
    <xf numFmtId="166" fontId="16" fillId="8" borderId="1" xfId="0" applyNumberFormat="1" applyFont="1" applyFill="1" applyBorder="1" applyAlignment="1">
      <alignment horizontal="center" vertical="center" wrapText="1"/>
    </xf>
    <xf numFmtId="0" fontId="10" fillId="0" borderId="0" xfId="0" applyFont="1"/>
    <xf numFmtId="9" fontId="13" fillId="3" borderId="1" xfId="0" applyNumberFormat="1" applyFont="1" applyFill="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166" fontId="3" fillId="0" borderId="1" xfId="0" applyNumberFormat="1" applyFont="1" applyBorder="1" applyAlignment="1">
      <alignment horizontal="center" vertical="center"/>
    </xf>
    <xf numFmtId="166" fontId="0" fillId="0" borderId="4" xfId="0" applyNumberFormat="1" applyBorder="1"/>
    <xf numFmtId="0" fontId="9" fillId="0" borderId="1" xfId="0" applyFont="1" applyBorder="1" applyAlignment="1">
      <alignment horizontal="center" vertical="center"/>
    </xf>
    <xf numFmtId="166" fontId="8" fillId="0" borderId="1" xfId="3" applyNumberFormat="1" applyFont="1" applyFill="1" applyBorder="1" applyAlignment="1" applyProtection="1">
      <alignment horizontal="center" vertical="center" wrapText="1"/>
    </xf>
    <xf numFmtId="166" fontId="0" fillId="0" borderId="1" xfId="3" applyNumberFormat="1" applyFont="1" applyBorder="1" applyAlignment="1" applyProtection="1">
      <alignment horizontal="center" vertical="center"/>
    </xf>
    <xf numFmtId="166" fontId="3" fillId="0" borderId="1" xfId="3" applyNumberFormat="1" applyFont="1" applyBorder="1" applyAlignment="1">
      <alignment horizontal="center" vertical="center"/>
    </xf>
    <xf numFmtId="166" fontId="4" fillId="0" borderId="1" xfId="0" applyNumberFormat="1" applyFont="1" applyBorder="1" applyAlignment="1">
      <alignment horizontal="center" vertical="center"/>
    </xf>
    <xf numFmtId="0" fontId="0" fillId="0" borderId="10" xfId="0" applyBorder="1"/>
    <xf numFmtId="0" fontId="0" fillId="0" borderId="3" xfId="0" applyBorder="1"/>
    <xf numFmtId="0" fontId="0" fillId="0" borderId="11" xfId="0" applyBorder="1"/>
    <xf numFmtId="0" fontId="0" fillId="0" borderId="6" xfId="0" applyBorder="1"/>
    <xf numFmtId="10" fontId="0" fillId="0" borderId="4" xfId="4" applyNumberFormat="1" applyFont="1" applyBorder="1"/>
    <xf numFmtId="166" fontId="0" fillId="0" borderId="2" xfId="0" applyNumberFormat="1" applyBorder="1"/>
    <xf numFmtId="166" fontId="8" fillId="0" borderId="2" xfId="0" applyNumberFormat="1" applyFont="1" applyBorder="1"/>
    <xf numFmtId="10" fontId="13" fillId="3" borderId="1" xfId="0" applyNumberFormat="1" applyFont="1" applyFill="1" applyBorder="1" applyAlignment="1">
      <alignment horizontal="center" vertical="center"/>
    </xf>
    <xf numFmtId="44" fontId="8" fillId="0" borderId="2" xfId="3" applyFont="1" applyBorder="1"/>
    <xf numFmtId="10" fontId="13" fillId="0" borderId="1" xfId="4" applyNumberFormat="1" applyFont="1" applyBorder="1" applyAlignment="1">
      <alignment horizontal="center" vertical="center"/>
    </xf>
    <xf numFmtId="44" fontId="0" fillId="0" borderId="4" xfId="3" applyFont="1" applyBorder="1"/>
    <xf numFmtId="10" fontId="0" fillId="0" borderId="2" xfId="4" applyNumberFormat="1" applyFont="1" applyBorder="1"/>
    <xf numFmtId="0" fontId="27" fillId="0" borderId="0" xfId="0" applyFont="1"/>
    <xf numFmtId="10" fontId="3" fillId="0" borderId="0" xfId="4" applyNumberFormat="1" applyFont="1" applyAlignment="1">
      <alignment horizontal="center" vertical="center"/>
    </xf>
    <xf numFmtId="166" fontId="27" fillId="0" borderId="0" xfId="0" applyNumberFormat="1" applyFont="1"/>
    <xf numFmtId="10" fontId="13" fillId="5" borderId="1" xfId="0" applyNumberFormat="1" applyFont="1" applyFill="1" applyBorder="1" applyAlignment="1">
      <alignment horizontal="center" vertical="center"/>
    </xf>
    <xf numFmtId="168" fontId="27" fillId="0" borderId="0" xfId="0" applyNumberFormat="1" applyFont="1"/>
    <xf numFmtId="167" fontId="3" fillId="0" borderId="4" xfId="4" applyNumberFormat="1" applyFont="1" applyBorder="1" applyAlignment="1">
      <alignment horizontal="center" vertical="center"/>
    </xf>
    <xf numFmtId="10" fontId="13" fillId="0" borderId="1" xfId="4" applyNumberFormat="1" applyFont="1" applyBorder="1" applyAlignment="1">
      <alignment horizontal="center" vertical="center" wrapText="1"/>
    </xf>
    <xf numFmtId="164" fontId="0" fillId="0" borderId="2" xfId="0" applyNumberFormat="1" applyBorder="1"/>
    <xf numFmtId="2" fontId="0" fillId="0" borderId="2" xfId="4" applyNumberFormat="1" applyFont="1" applyBorder="1"/>
    <xf numFmtId="10" fontId="13" fillId="9" borderId="1" xfId="4" applyNumberFormat="1" applyFont="1" applyFill="1" applyBorder="1" applyAlignment="1">
      <alignment horizontal="center" vertical="center" wrapText="1"/>
    </xf>
    <xf numFmtId="10" fontId="13" fillId="5" borderId="1" xfId="4" applyNumberFormat="1" applyFont="1" applyFill="1" applyBorder="1" applyAlignment="1">
      <alignment horizontal="center" vertical="center"/>
    </xf>
    <xf numFmtId="2" fontId="0" fillId="0" borderId="0" xfId="0" applyNumberFormat="1" applyAlignment="1">
      <alignment vertical="center"/>
    </xf>
    <xf numFmtId="0" fontId="13" fillId="5" borderId="1" xfId="0" applyFont="1" applyFill="1" applyBorder="1" applyAlignment="1">
      <alignment vertical="center"/>
    </xf>
    <xf numFmtId="0" fontId="14" fillId="0" borderId="0" xfId="0" applyFont="1" applyAlignment="1">
      <alignment horizontal="righ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28" fillId="0" borderId="1" xfId="0" applyFont="1" applyBorder="1" applyAlignment="1">
      <alignment horizontal="center" vertical="center" wrapText="1"/>
    </xf>
    <xf numFmtId="0" fontId="3" fillId="7" borderId="1" xfId="0" applyFont="1" applyFill="1" applyBorder="1" applyAlignment="1">
      <alignment horizontal="center"/>
    </xf>
    <xf numFmtId="0" fontId="5" fillId="0" borderId="1" xfId="0" applyFont="1" applyBorder="1" applyAlignment="1">
      <alignment horizontal="center" vertical="center"/>
    </xf>
    <xf numFmtId="0" fontId="9" fillId="0" borderId="1"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16" fillId="2" borderId="1" xfId="0" applyFont="1" applyFill="1" applyBorder="1" applyAlignment="1">
      <alignment horizontal="center"/>
    </xf>
    <xf numFmtId="0" fontId="3"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7" xfId="0" applyFont="1" applyBorder="1" applyAlignment="1">
      <alignment horizontal="left"/>
    </xf>
    <xf numFmtId="0" fontId="17" fillId="0" borderId="8" xfId="0" applyFont="1" applyBorder="1" applyAlignment="1">
      <alignment horizontal="left"/>
    </xf>
    <xf numFmtId="0" fontId="17" fillId="0" borderId="9" xfId="0" applyFont="1" applyBorder="1" applyAlignment="1">
      <alignment horizontal="left"/>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4" fillId="0" borderId="1" xfId="0" applyFont="1" applyBorder="1" applyAlignment="1">
      <alignment horizontal="left"/>
    </xf>
    <xf numFmtId="14" fontId="0" fillId="0" borderId="7" xfId="0" applyNumberForma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3" fillId="0" borderId="1" xfId="0" applyFont="1" applyBorder="1" applyAlignment="1">
      <alignment horizontal="center" vertical="center" wrapText="1"/>
    </xf>
    <xf numFmtId="0" fontId="1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4" fontId="13" fillId="0" borderId="7" xfId="0" applyNumberFormat="1" applyFont="1" applyBorder="1" applyAlignment="1" applyProtection="1">
      <alignment horizontal="center"/>
      <protection locked="0"/>
    </xf>
    <xf numFmtId="14" fontId="13" fillId="0" borderId="8" xfId="0" applyNumberFormat="1" applyFont="1" applyBorder="1" applyAlignment="1" applyProtection="1">
      <alignment horizontal="center"/>
      <protection locked="0"/>
    </xf>
    <xf numFmtId="14" fontId="13" fillId="0" borderId="9" xfId="0" applyNumberFormat="1" applyFont="1" applyBorder="1" applyAlignment="1" applyProtection="1">
      <alignment horizontal="center"/>
      <protection locked="0"/>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justify" vertical="center" wrapText="1"/>
    </xf>
    <xf numFmtId="10" fontId="13" fillId="0" borderId="1" xfId="0" applyNumberFormat="1" applyFont="1" applyBorder="1" applyAlignment="1">
      <alignment horizontal="justify" vertical="center" wrapText="1"/>
    </xf>
    <xf numFmtId="0" fontId="13" fillId="5" borderId="1" xfId="0" applyFont="1" applyFill="1" applyBorder="1" applyAlignment="1">
      <alignment horizontal="center" vertical="center"/>
    </xf>
    <xf numFmtId="0" fontId="23" fillId="0" borderId="2" xfId="0" applyFont="1" applyBorder="1" applyAlignment="1">
      <alignment horizontal="justify" vertical="center" wrapText="1"/>
    </xf>
    <xf numFmtId="0" fontId="13" fillId="0" borderId="1" xfId="0" applyFont="1" applyBorder="1" applyAlignment="1">
      <alignment horizontal="left" vertical="center" wrapText="1"/>
    </xf>
    <xf numFmtId="0" fontId="22" fillId="4" borderId="2" xfId="0" applyFont="1" applyFill="1" applyBorder="1" applyAlignment="1">
      <alignment horizontal="justify" vertical="center" wrapText="1"/>
    </xf>
    <xf numFmtId="0" fontId="24" fillId="0" borderId="1" xfId="0" applyFont="1" applyBorder="1" applyAlignment="1">
      <alignment horizontal="left"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xf numFmtId="0" fontId="21" fillId="0" borderId="5" xfId="0" applyFont="1" applyBorder="1" applyAlignment="1">
      <alignment horizontal="center" vertical="center" wrapText="1"/>
    </xf>
    <xf numFmtId="0" fontId="13" fillId="0" borderId="1" xfId="0" applyFont="1" applyBorder="1" applyAlignment="1">
      <alignment horizontal="left" vertical="center"/>
    </xf>
    <xf numFmtId="0" fontId="23" fillId="0" borderId="2" xfId="0" applyFont="1" applyBorder="1" applyAlignment="1">
      <alignment horizontal="left" vertical="center" wrapText="1"/>
    </xf>
    <xf numFmtId="0" fontId="13" fillId="0" borderId="3" xfId="0" applyFont="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3" fillId="0" borderId="1" xfId="0" applyFont="1" applyBorder="1" applyAlignment="1">
      <alignment horizontal="left" vertical="center" wrapText="1"/>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3" fillId="0" borderId="5" xfId="0" applyFont="1" applyBorder="1" applyAlignment="1">
      <alignment horizontal="center" vertical="center"/>
    </xf>
    <xf numFmtId="0" fontId="23"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14" fillId="0" borderId="0" xfId="0" applyFont="1" applyAlignment="1">
      <alignment horizontal="right" vertical="center" wrapText="1"/>
    </xf>
    <xf numFmtId="0" fontId="13" fillId="0" borderId="5" xfId="0" applyFont="1" applyBorder="1" applyAlignment="1">
      <alignment horizontal="right" vertical="center"/>
    </xf>
    <xf numFmtId="0" fontId="13" fillId="6" borderId="1" xfId="0" applyFont="1" applyFill="1" applyBorder="1" applyAlignment="1">
      <alignment horizontal="center" vertical="center"/>
    </xf>
    <xf numFmtId="0" fontId="7" fillId="0" borderId="1" xfId="0" applyFont="1" applyBorder="1" applyAlignment="1">
      <alignment horizontal="justify" vertical="center" wrapText="1"/>
    </xf>
    <xf numFmtId="0" fontId="23" fillId="0" borderId="2" xfId="0" applyFont="1"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0" applyFont="1" applyBorder="1" applyAlignment="1">
      <alignment horizontal="justify" vertical="center"/>
    </xf>
    <xf numFmtId="0" fontId="0" fillId="0" borderId="1" xfId="0" applyBorder="1" applyAlignment="1">
      <alignment horizontal="left" vertical="center" wrapText="1"/>
    </xf>
    <xf numFmtId="49" fontId="13" fillId="5" borderId="1" xfId="0" applyNumberFormat="1" applyFont="1" applyFill="1" applyBorder="1" applyAlignment="1">
      <alignment horizontal="center" vertical="center" wrapText="1"/>
    </xf>
    <xf numFmtId="49" fontId="16" fillId="8" borderId="1" xfId="0" applyNumberFormat="1" applyFont="1" applyFill="1" applyBorder="1" applyAlignment="1">
      <alignment horizontal="center" vertical="center" wrapText="1"/>
    </xf>
    <xf numFmtId="0" fontId="13" fillId="0" borderId="3" xfId="0" applyFont="1" applyBorder="1" applyAlignment="1">
      <alignment horizontal="right" vertical="center"/>
    </xf>
    <xf numFmtId="49" fontId="13" fillId="0" borderId="1" xfId="0" applyNumberFormat="1" applyFont="1" applyBorder="1" applyAlignment="1">
      <alignment horizontal="center" vertical="center" wrapText="1"/>
    </xf>
    <xf numFmtId="0" fontId="14" fillId="0" borderId="13" xfId="0" applyFont="1" applyBorder="1" applyAlignment="1">
      <alignment horizontal="right" vertical="center" wrapText="1"/>
    </xf>
    <xf numFmtId="0" fontId="14" fillId="0" borderId="12" xfId="0" applyFont="1" applyBorder="1" applyAlignment="1">
      <alignment horizontal="right" vertical="center" wrapText="1"/>
    </xf>
    <xf numFmtId="0" fontId="13" fillId="0" borderId="7" xfId="0" applyFont="1" applyBorder="1" applyAlignment="1">
      <alignment horizontal="justify" vertical="center" wrapText="1"/>
    </xf>
    <xf numFmtId="0" fontId="13" fillId="0" borderId="8" xfId="0" applyFont="1" applyBorder="1" applyAlignment="1">
      <alignment horizontal="justify" vertical="center" wrapText="1"/>
    </xf>
    <xf numFmtId="0" fontId="13" fillId="0" borderId="9" xfId="0" applyFont="1" applyBorder="1" applyAlignment="1">
      <alignment horizontal="justify" vertical="center" wrapText="1"/>
    </xf>
  </cellXfs>
  <cellStyles count="5">
    <cellStyle name="Moeda" xfId="3" builtinId="4"/>
    <cellStyle name="Normal" xfId="0" builtinId="0"/>
    <cellStyle name="Porcentagem" xfId="4" builtinId="5"/>
    <cellStyle name="Vírgula 2" xfId="1" xr:uid="{98108ED1-8BB3-4226-B4F9-49A262533150}"/>
    <cellStyle name="Vírgula 3" xfId="2" xr:uid="{0BA32E0B-15E0-4CDC-98C5-CB7624370D5A}"/>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316258</xdr:rowOff>
    </xdr:to>
    <xdr:sp macro="" textlink="">
      <xdr:nvSpPr>
        <xdr:cNvPr id="2" name="AutoShape 1" descr="Timbre">
          <a:extLst>
            <a:ext uri="{FF2B5EF4-FFF2-40B4-BE49-F238E27FC236}">
              <a16:creationId xmlns:a16="http://schemas.microsoft.com/office/drawing/2014/main" id="{6AAA0E9F-73CE-45E3-805C-C8FED85301FC}"/>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752889</xdr:colOff>
      <xdr:row>1</xdr:row>
      <xdr:rowOff>83244</xdr:rowOff>
    </xdr:to>
    <xdr:pic>
      <xdr:nvPicPr>
        <xdr:cNvPr id="3" name="Imagem 2" descr="Resultado de imagem para brasão da república">
          <a:extLst>
            <a:ext uri="{FF2B5EF4-FFF2-40B4-BE49-F238E27FC236}">
              <a16:creationId xmlns:a16="http://schemas.microsoft.com/office/drawing/2014/main" id="{373EBD91-9C40-4DFA-8A99-7244515355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316258</xdr:rowOff>
    </xdr:to>
    <xdr:sp macro="" textlink="">
      <xdr:nvSpPr>
        <xdr:cNvPr id="2" name="AutoShape 1" descr="Timbre">
          <a:extLst>
            <a:ext uri="{FF2B5EF4-FFF2-40B4-BE49-F238E27FC236}">
              <a16:creationId xmlns:a16="http://schemas.microsoft.com/office/drawing/2014/main" id="{C22C73EF-3736-470F-914E-CF0527B84040}"/>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752889</xdr:colOff>
      <xdr:row>1</xdr:row>
      <xdr:rowOff>83244</xdr:rowOff>
    </xdr:to>
    <xdr:pic>
      <xdr:nvPicPr>
        <xdr:cNvPr id="3" name="Imagem 2" descr="Resultado de imagem para brasão da república">
          <a:extLst>
            <a:ext uri="{FF2B5EF4-FFF2-40B4-BE49-F238E27FC236}">
              <a16:creationId xmlns:a16="http://schemas.microsoft.com/office/drawing/2014/main" id="{EE862923-1768-45D5-884A-B1440C1AED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313083</xdr:rowOff>
    </xdr:to>
    <xdr:sp macro="" textlink="">
      <xdr:nvSpPr>
        <xdr:cNvPr id="2" name="AutoShape 1" descr="Timbre">
          <a:extLst>
            <a:ext uri="{FF2B5EF4-FFF2-40B4-BE49-F238E27FC236}">
              <a16:creationId xmlns:a16="http://schemas.microsoft.com/office/drawing/2014/main" id="{84FB8704-CF53-432F-8812-0DF81A12E62B}"/>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749714</xdr:colOff>
      <xdr:row>1</xdr:row>
      <xdr:rowOff>86419</xdr:rowOff>
    </xdr:to>
    <xdr:pic>
      <xdr:nvPicPr>
        <xdr:cNvPr id="3" name="Imagem 2" descr="Resultado de imagem para brasão da república">
          <a:extLst>
            <a:ext uri="{FF2B5EF4-FFF2-40B4-BE49-F238E27FC236}">
              <a16:creationId xmlns:a16="http://schemas.microsoft.com/office/drawing/2014/main" id="{ED881D8B-6281-4212-8500-6A4C7905A4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313083</xdr:rowOff>
    </xdr:to>
    <xdr:sp macro="" textlink="">
      <xdr:nvSpPr>
        <xdr:cNvPr id="2" name="AutoShape 1" descr="Timbre">
          <a:extLst>
            <a:ext uri="{FF2B5EF4-FFF2-40B4-BE49-F238E27FC236}">
              <a16:creationId xmlns:a16="http://schemas.microsoft.com/office/drawing/2014/main" id="{09DCE1DC-A44C-4F2C-A4B7-BA9F51E34A5E}"/>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749714</xdr:colOff>
      <xdr:row>1</xdr:row>
      <xdr:rowOff>86419</xdr:rowOff>
    </xdr:to>
    <xdr:pic>
      <xdr:nvPicPr>
        <xdr:cNvPr id="3" name="Imagem 2" descr="Resultado de imagem para brasão da república">
          <a:extLst>
            <a:ext uri="{FF2B5EF4-FFF2-40B4-BE49-F238E27FC236}">
              <a16:creationId xmlns:a16="http://schemas.microsoft.com/office/drawing/2014/main" id="{59768AB6-CF20-4D49-A335-8024B08A08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316258</xdr:rowOff>
    </xdr:to>
    <xdr:sp macro="" textlink="">
      <xdr:nvSpPr>
        <xdr:cNvPr id="2" name="AutoShape 1" descr="Timbre">
          <a:extLst>
            <a:ext uri="{FF2B5EF4-FFF2-40B4-BE49-F238E27FC236}">
              <a16:creationId xmlns:a16="http://schemas.microsoft.com/office/drawing/2014/main" id="{1FFB4E71-29C1-43AF-B587-F49E83422DC3}"/>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752889</xdr:colOff>
      <xdr:row>1</xdr:row>
      <xdr:rowOff>83244</xdr:rowOff>
    </xdr:to>
    <xdr:pic>
      <xdr:nvPicPr>
        <xdr:cNvPr id="3" name="Imagem 2" descr="Resultado de imagem para brasão da república">
          <a:extLst>
            <a:ext uri="{FF2B5EF4-FFF2-40B4-BE49-F238E27FC236}">
              <a16:creationId xmlns:a16="http://schemas.microsoft.com/office/drawing/2014/main" id="{C2402842-51AD-4A71-A281-C190C6A6DE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313083</xdr:rowOff>
    </xdr:to>
    <xdr:sp macro="" textlink="">
      <xdr:nvSpPr>
        <xdr:cNvPr id="2" name="AutoShape 1" descr="Timbre">
          <a:extLst>
            <a:ext uri="{FF2B5EF4-FFF2-40B4-BE49-F238E27FC236}">
              <a16:creationId xmlns:a16="http://schemas.microsoft.com/office/drawing/2014/main" id="{12178AA5-66D6-4643-B24B-C5FA5A52610D}"/>
            </a:ext>
          </a:extLst>
        </xdr:cNvPr>
        <xdr:cNvSpPr>
          <a:spLocks noChangeAspect="1" noChangeArrowheads="1"/>
        </xdr:cNvSpPr>
      </xdr:nvSpPr>
      <xdr:spPr bwMode="auto">
        <a:xfrm>
          <a:off x="5028096" y="0"/>
          <a:ext cx="315981" cy="31308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749714</xdr:colOff>
      <xdr:row>1</xdr:row>
      <xdr:rowOff>86419</xdr:rowOff>
    </xdr:to>
    <xdr:pic>
      <xdr:nvPicPr>
        <xdr:cNvPr id="3" name="Imagem 2" descr="Resultado de imagem para brasão da república">
          <a:extLst>
            <a:ext uri="{FF2B5EF4-FFF2-40B4-BE49-F238E27FC236}">
              <a16:creationId xmlns:a16="http://schemas.microsoft.com/office/drawing/2014/main" id="{1F2B1F41-368A-46DB-B856-882372AD07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2524" cy="61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313083</xdr:rowOff>
    </xdr:to>
    <xdr:sp macro="" textlink="">
      <xdr:nvSpPr>
        <xdr:cNvPr id="2" name="AutoShape 1" descr="Timbre">
          <a:extLst>
            <a:ext uri="{FF2B5EF4-FFF2-40B4-BE49-F238E27FC236}">
              <a16:creationId xmlns:a16="http://schemas.microsoft.com/office/drawing/2014/main" id="{D896B716-C2FC-41FC-AF37-4B654294269A}"/>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749714</xdr:colOff>
      <xdr:row>1</xdr:row>
      <xdr:rowOff>86419</xdr:rowOff>
    </xdr:to>
    <xdr:pic>
      <xdr:nvPicPr>
        <xdr:cNvPr id="3" name="Imagem 2" descr="Resultado de imagem para brasão da república">
          <a:extLst>
            <a:ext uri="{FF2B5EF4-FFF2-40B4-BE49-F238E27FC236}">
              <a16:creationId xmlns:a16="http://schemas.microsoft.com/office/drawing/2014/main" id="{44EF8605-38E9-4678-AB61-1FF3F0F41E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313083</xdr:rowOff>
    </xdr:to>
    <xdr:sp macro="" textlink="">
      <xdr:nvSpPr>
        <xdr:cNvPr id="2" name="AutoShape 1" descr="Timbre">
          <a:extLst>
            <a:ext uri="{FF2B5EF4-FFF2-40B4-BE49-F238E27FC236}">
              <a16:creationId xmlns:a16="http://schemas.microsoft.com/office/drawing/2014/main" id="{CE5FECD9-9393-4175-BAE2-2E75254DDD0C}"/>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749714</xdr:colOff>
      <xdr:row>1</xdr:row>
      <xdr:rowOff>86419</xdr:rowOff>
    </xdr:to>
    <xdr:pic>
      <xdr:nvPicPr>
        <xdr:cNvPr id="3" name="Imagem 2" descr="Resultado de imagem para brasão da república">
          <a:extLst>
            <a:ext uri="{FF2B5EF4-FFF2-40B4-BE49-F238E27FC236}">
              <a16:creationId xmlns:a16="http://schemas.microsoft.com/office/drawing/2014/main" id="{085AAF3B-0754-4173-B9A9-8EFD8EBE65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316258</xdr:rowOff>
    </xdr:to>
    <xdr:sp macro="" textlink="">
      <xdr:nvSpPr>
        <xdr:cNvPr id="2" name="AutoShape 1" descr="Timbre">
          <a:extLst>
            <a:ext uri="{FF2B5EF4-FFF2-40B4-BE49-F238E27FC236}">
              <a16:creationId xmlns:a16="http://schemas.microsoft.com/office/drawing/2014/main" id="{77B91EB4-844B-43BB-B5CB-491739760804}"/>
            </a:ext>
          </a:extLst>
        </xdr:cNvPr>
        <xdr:cNvSpPr>
          <a:spLocks noChangeAspect="1" noChangeArrowheads="1"/>
        </xdr:cNvSpPr>
      </xdr:nvSpPr>
      <xdr:spPr bwMode="auto">
        <a:xfrm>
          <a:off x="5488471" y="0"/>
          <a:ext cx="306456" cy="31308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752889</xdr:colOff>
      <xdr:row>1</xdr:row>
      <xdr:rowOff>83244</xdr:rowOff>
    </xdr:to>
    <xdr:pic>
      <xdr:nvPicPr>
        <xdr:cNvPr id="3" name="Imagem 2" descr="Resultado de imagem para brasão da república">
          <a:extLst>
            <a:ext uri="{FF2B5EF4-FFF2-40B4-BE49-F238E27FC236}">
              <a16:creationId xmlns:a16="http://schemas.microsoft.com/office/drawing/2014/main" id="{89BA7048-9884-4C1C-8889-7FB1D1C55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615" y="114300"/>
          <a:ext cx="1149349" cy="610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316258</xdr:rowOff>
    </xdr:to>
    <xdr:sp macro="" textlink="">
      <xdr:nvSpPr>
        <xdr:cNvPr id="2" name="AutoShape 1" descr="Timbre">
          <a:extLst>
            <a:ext uri="{FF2B5EF4-FFF2-40B4-BE49-F238E27FC236}">
              <a16:creationId xmlns:a16="http://schemas.microsoft.com/office/drawing/2014/main" id="{5F037031-A2F9-4D1D-A3FC-962F62B25CC2}"/>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752889</xdr:colOff>
      <xdr:row>1</xdr:row>
      <xdr:rowOff>83244</xdr:rowOff>
    </xdr:to>
    <xdr:pic>
      <xdr:nvPicPr>
        <xdr:cNvPr id="3" name="Imagem 2" descr="Resultado de imagem para brasão da república">
          <a:extLst>
            <a:ext uri="{FF2B5EF4-FFF2-40B4-BE49-F238E27FC236}">
              <a16:creationId xmlns:a16="http://schemas.microsoft.com/office/drawing/2014/main" id="{191EC76C-EBF2-425A-84E3-39708B8C7F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1192696</xdr:colOff>
      <xdr:row>0</xdr:row>
      <xdr:rowOff>0</xdr:rowOff>
    </xdr:from>
    <xdr:to>
      <xdr:col>5</xdr:col>
      <xdr:colOff>1505502</xdr:colOff>
      <xdr:row>0</xdr:row>
      <xdr:rowOff>313083</xdr:rowOff>
    </xdr:to>
    <xdr:sp macro="" textlink="">
      <xdr:nvSpPr>
        <xdr:cNvPr id="2" name="AutoShape 1" descr="Timbre">
          <a:extLst>
            <a:ext uri="{FF2B5EF4-FFF2-40B4-BE49-F238E27FC236}">
              <a16:creationId xmlns:a16="http://schemas.microsoft.com/office/drawing/2014/main" id="{10BA25B2-E794-40D8-884C-2F1379F58067}"/>
            </a:ext>
          </a:extLst>
        </xdr:cNvPr>
        <xdr:cNvSpPr>
          <a:spLocks noChangeAspect="1" noChangeArrowheads="1"/>
        </xdr:cNvSpPr>
      </xdr:nvSpPr>
      <xdr:spPr bwMode="auto">
        <a:xfrm>
          <a:off x="5028096" y="0"/>
          <a:ext cx="315981" cy="31625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333790</xdr:colOff>
      <xdr:row>0</xdr:row>
      <xdr:rowOff>114300</xdr:rowOff>
    </xdr:from>
    <xdr:to>
      <xdr:col>5</xdr:col>
      <xdr:colOff>749714</xdr:colOff>
      <xdr:row>1</xdr:row>
      <xdr:rowOff>86419</xdr:rowOff>
    </xdr:to>
    <xdr:pic>
      <xdr:nvPicPr>
        <xdr:cNvPr id="3" name="Imagem 2" descr="Resultado de imagem para brasão da república">
          <a:extLst>
            <a:ext uri="{FF2B5EF4-FFF2-40B4-BE49-F238E27FC236}">
              <a16:creationId xmlns:a16="http://schemas.microsoft.com/office/drawing/2014/main" id="{C47EF9A6-D3CF-4110-8C13-B5365B152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5765" y="114300"/>
          <a:ext cx="1155699" cy="607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EB27D-9DD3-41DC-94F9-885E0DECC23D}">
  <dimension ref="A1:K15"/>
  <sheetViews>
    <sheetView tabSelected="1" workbookViewId="0">
      <selection activeCell="H3" sqref="H3:H13"/>
    </sheetView>
  </sheetViews>
  <sheetFormatPr defaultColWidth="8.7265625" defaultRowHeight="14.5" x14ac:dyDescent="0.35"/>
  <cols>
    <col min="1" max="1" width="9.54296875" style="1" bestFit="1" customWidth="1"/>
    <col min="2" max="2" width="5.1796875" style="1" bestFit="1" customWidth="1"/>
    <col min="3" max="3" width="48.54296875" style="1" customWidth="1"/>
    <col min="4" max="4" width="7.1796875" style="19" customWidth="1"/>
    <col min="5" max="5" width="15.36328125" style="1" bestFit="1" customWidth="1"/>
    <col min="6" max="6" width="18.26953125" style="1" bestFit="1" customWidth="1"/>
    <col min="7" max="7" width="12.54296875" style="1" bestFit="1" customWidth="1"/>
    <col min="8" max="8" width="18.36328125" style="1" customWidth="1"/>
    <col min="9" max="9" width="14.26953125" style="1" customWidth="1"/>
    <col min="10" max="10" width="15.08984375" style="1" customWidth="1"/>
    <col min="11" max="11" width="35.26953125" style="1" bestFit="1" customWidth="1"/>
    <col min="12" max="16384" width="8.7265625" style="1"/>
  </cols>
  <sheetData>
    <row r="1" spans="1:11" x14ac:dyDescent="0.35">
      <c r="A1" s="130" t="s">
        <v>106</v>
      </c>
      <c r="B1" s="130"/>
      <c r="C1" s="130"/>
      <c r="D1" s="130"/>
      <c r="E1" s="130"/>
      <c r="F1" s="130"/>
      <c r="G1" s="130"/>
      <c r="H1" s="130"/>
      <c r="I1" s="130"/>
      <c r="J1" s="130"/>
      <c r="K1" s="130"/>
    </row>
    <row r="2" spans="1:11" ht="29" x14ac:dyDescent="0.35">
      <c r="A2" s="2" t="s">
        <v>107</v>
      </c>
      <c r="B2" s="3" t="s">
        <v>108</v>
      </c>
      <c r="C2" s="4" t="s">
        <v>109</v>
      </c>
      <c r="D2" s="4" t="s">
        <v>110</v>
      </c>
      <c r="E2" s="4" t="s">
        <v>111</v>
      </c>
      <c r="F2" s="5" t="s">
        <v>112</v>
      </c>
      <c r="G2" s="4" t="s">
        <v>113</v>
      </c>
      <c r="H2" s="4" t="s">
        <v>114</v>
      </c>
      <c r="I2" s="4" t="s">
        <v>115</v>
      </c>
      <c r="J2" s="6" t="s">
        <v>116</v>
      </c>
      <c r="K2" s="5" t="s">
        <v>117</v>
      </c>
    </row>
    <row r="3" spans="1:11" x14ac:dyDescent="0.35">
      <c r="A3" s="2"/>
      <c r="B3" s="7">
        <v>1</v>
      </c>
      <c r="C3" s="8" t="s">
        <v>118</v>
      </c>
      <c r="D3" s="2">
        <v>25631</v>
      </c>
      <c r="E3" s="9" t="s">
        <v>119</v>
      </c>
      <c r="F3" s="10" t="s">
        <v>120</v>
      </c>
      <c r="G3" s="9">
        <v>1</v>
      </c>
      <c r="H3" s="96">
        <f>'TEC. CONT. JUAZEIRO-BA'!I165</f>
        <v>4013.9149422222226</v>
      </c>
      <c r="I3" s="97">
        <f>G3*H3</f>
        <v>4013.9149422222226</v>
      </c>
      <c r="J3" s="98">
        <f>24*I3</f>
        <v>96333.958613333351</v>
      </c>
      <c r="K3" s="11" t="s">
        <v>121</v>
      </c>
    </row>
    <row r="4" spans="1:11" x14ac:dyDescent="0.35">
      <c r="A4" s="2"/>
      <c r="B4" s="7">
        <v>2</v>
      </c>
      <c r="C4" s="8" t="s">
        <v>122</v>
      </c>
      <c r="D4" s="2">
        <v>25631</v>
      </c>
      <c r="E4" s="12" t="s">
        <v>123</v>
      </c>
      <c r="F4" s="10" t="s">
        <v>124</v>
      </c>
      <c r="G4" s="12">
        <v>2</v>
      </c>
      <c r="H4" s="99">
        <f>'TEC. MEIO AMB. SANTARÉM-PA'!I165</f>
        <v>8502.8535615955552</v>
      </c>
      <c r="I4" s="97">
        <f>G4*H4</f>
        <v>17005.70712319111</v>
      </c>
      <c r="J4" s="98">
        <f>24*I4</f>
        <v>408136.97095658665</v>
      </c>
      <c r="K4" s="13" t="s">
        <v>125</v>
      </c>
    </row>
    <row r="5" spans="1:11" x14ac:dyDescent="0.35">
      <c r="A5" s="131" t="s">
        <v>126</v>
      </c>
      <c r="B5" s="7">
        <v>3</v>
      </c>
      <c r="C5" s="8" t="s">
        <v>127</v>
      </c>
      <c r="D5" s="14">
        <v>18830</v>
      </c>
      <c r="E5" s="9" t="s">
        <v>128</v>
      </c>
      <c r="F5" s="10" t="s">
        <v>129</v>
      </c>
      <c r="G5" s="9">
        <v>1</v>
      </c>
      <c r="H5" s="96">
        <f>'TEC. QUÍM. DOU-MS'!I165</f>
        <v>4253.5645510133327</v>
      </c>
      <c r="I5" s="97">
        <f t="shared" ref="I5:I12" si="0">G5*H5</f>
        <v>4253.5645510133327</v>
      </c>
      <c r="J5" s="98">
        <f t="shared" ref="J5:J12" si="1">24*I5</f>
        <v>102085.54922431998</v>
      </c>
      <c r="K5" s="11" t="s">
        <v>130</v>
      </c>
    </row>
    <row r="6" spans="1:11" ht="29" x14ac:dyDescent="0.35">
      <c r="A6" s="131"/>
      <c r="B6" s="7">
        <v>4</v>
      </c>
      <c r="C6" s="8" t="s">
        <v>131</v>
      </c>
      <c r="D6" s="2">
        <v>25631</v>
      </c>
      <c r="E6" s="9" t="s">
        <v>128</v>
      </c>
      <c r="F6" s="10" t="s">
        <v>129</v>
      </c>
      <c r="G6" s="9">
        <v>1</v>
      </c>
      <c r="H6" s="99">
        <f>'MEC. DOU-MS'!I165</f>
        <v>8788.4537451466676</v>
      </c>
      <c r="I6" s="97">
        <f t="shared" si="0"/>
        <v>8788.4537451466676</v>
      </c>
      <c r="J6" s="98">
        <f t="shared" si="1"/>
        <v>210922.88988352002</v>
      </c>
      <c r="K6" s="95" t="s">
        <v>132</v>
      </c>
    </row>
    <row r="7" spans="1:11" ht="29" x14ac:dyDescent="0.35">
      <c r="A7" s="131"/>
      <c r="B7" s="7">
        <v>5</v>
      </c>
      <c r="C7" s="8" t="s">
        <v>131</v>
      </c>
      <c r="D7" s="2">
        <v>25631</v>
      </c>
      <c r="E7" s="9" t="s">
        <v>133</v>
      </c>
      <c r="F7" s="10" t="s">
        <v>129</v>
      </c>
      <c r="G7" s="9">
        <v>1</v>
      </c>
      <c r="H7" s="96">
        <f>'MEC. PONTA PORÃ-MS'!I165</f>
        <v>8808.6527451466663</v>
      </c>
      <c r="I7" s="97">
        <f t="shared" si="0"/>
        <v>8808.6527451466663</v>
      </c>
      <c r="J7" s="98">
        <f t="shared" si="1"/>
        <v>211407.66588351998</v>
      </c>
      <c r="K7" s="95" t="s">
        <v>132</v>
      </c>
    </row>
    <row r="8" spans="1:11" ht="29" x14ac:dyDescent="0.35">
      <c r="A8" s="131"/>
      <c r="B8" s="7">
        <v>6</v>
      </c>
      <c r="C8" s="8" t="s">
        <v>134</v>
      </c>
      <c r="D8" s="2">
        <v>25631</v>
      </c>
      <c r="E8" s="9" t="s">
        <v>133</v>
      </c>
      <c r="F8" s="10" t="s">
        <v>129</v>
      </c>
      <c r="G8" s="9">
        <v>1</v>
      </c>
      <c r="H8" s="99">
        <f>'MEC. DÍESEL PONTA PORÃ-MS'!I165</f>
        <v>8808.6527451466663</v>
      </c>
      <c r="I8" s="97">
        <f t="shared" si="0"/>
        <v>8808.6527451466663</v>
      </c>
      <c r="J8" s="98">
        <f t="shared" si="1"/>
        <v>211407.66588351998</v>
      </c>
      <c r="K8" s="95" t="s">
        <v>132</v>
      </c>
    </row>
    <row r="9" spans="1:11" ht="29" x14ac:dyDescent="0.35">
      <c r="A9" s="131" t="s">
        <v>135</v>
      </c>
      <c r="B9" s="7">
        <v>7</v>
      </c>
      <c r="C9" s="8" t="s">
        <v>131</v>
      </c>
      <c r="D9" s="2">
        <v>25631</v>
      </c>
      <c r="E9" s="9" t="s">
        <v>136</v>
      </c>
      <c r="F9" s="15" t="s">
        <v>137</v>
      </c>
      <c r="G9" s="9">
        <v>1</v>
      </c>
      <c r="H9" s="96">
        <f>'MEC. GUAÍRA-PR'!I165</f>
        <v>6710.4155326755554</v>
      </c>
      <c r="I9" s="97">
        <f t="shared" si="0"/>
        <v>6710.4155326755554</v>
      </c>
      <c r="J9" s="98">
        <f t="shared" si="1"/>
        <v>161049.97278421331</v>
      </c>
      <c r="K9" s="16" t="s">
        <v>138</v>
      </c>
    </row>
    <row r="10" spans="1:11" ht="29" x14ac:dyDescent="0.35">
      <c r="A10" s="131"/>
      <c r="B10" s="7">
        <v>8</v>
      </c>
      <c r="C10" s="8" t="s">
        <v>134</v>
      </c>
      <c r="D10" s="2">
        <v>25631</v>
      </c>
      <c r="E10" s="9" t="s">
        <v>136</v>
      </c>
      <c r="F10" s="15" t="s">
        <v>137</v>
      </c>
      <c r="G10" s="9">
        <v>1</v>
      </c>
      <c r="H10" s="99">
        <f>'MEC. DIESEL GUAÍRA-PR'!I165</f>
        <v>6710.4155326755554</v>
      </c>
      <c r="I10" s="97">
        <f t="shared" si="0"/>
        <v>6710.4155326755554</v>
      </c>
      <c r="J10" s="98">
        <f t="shared" si="1"/>
        <v>161049.97278421331</v>
      </c>
      <c r="K10" s="16" t="s">
        <v>138</v>
      </c>
    </row>
    <row r="11" spans="1:11" ht="29" x14ac:dyDescent="0.35">
      <c r="A11" s="131" t="s">
        <v>139</v>
      </c>
      <c r="B11" s="7">
        <v>9</v>
      </c>
      <c r="C11" s="8" t="s">
        <v>131</v>
      </c>
      <c r="D11" s="2">
        <v>25631</v>
      </c>
      <c r="E11" s="9" t="s">
        <v>140</v>
      </c>
      <c r="F11" s="15" t="s">
        <v>141</v>
      </c>
      <c r="G11" s="9">
        <v>1</v>
      </c>
      <c r="H11" s="99">
        <f>'MEC. FOZ-PR'!I165</f>
        <v>6771.5667326755556</v>
      </c>
      <c r="I11" s="97">
        <f t="shared" si="0"/>
        <v>6771.5667326755556</v>
      </c>
      <c r="J11" s="98">
        <f t="shared" si="1"/>
        <v>162517.60158421332</v>
      </c>
      <c r="K11" s="16" t="s">
        <v>138</v>
      </c>
    </row>
    <row r="12" spans="1:11" ht="29" x14ac:dyDescent="0.35">
      <c r="A12" s="131"/>
      <c r="B12" s="7">
        <v>10</v>
      </c>
      <c r="C12" s="8" t="s">
        <v>134</v>
      </c>
      <c r="D12" s="2">
        <v>25631</v>
      </c>
      <c r="E12" s="9" t="s">
        <v>140</v>
      </c>
      <c r="F12" s="15" t="s">
        <v>141</v>
      </c>
      <c r="G12" s="9">
        <v>1</v>
      </c>
      <c r="H12" s="96">
        <f>'MEC. DIESEL FOZ-PR'!I165</f>
        <v>6771.5667326755556</v>
      </c>
      <c r="I12" s="97">
        <f t="shared" si="0"/>
        <v>6771.5667326755556</v>
      </c>
      <c r="J12" s="98">
        <f t="shared" si="1"/>
        <v>162517.60158421332</v>
      </c>
      <c r="K12" s="16" t="s">
        <v>138</v>
      </c>
    </row>
    <row r="13" spans="1:11" x14ac:dyDescent="0.35">
      <c r="A13" s="131"/>
      <c r="B13" s="7">
        <v>11</v>
      </c>
      <c r="C13" s="8" t="s">
        <v>127</v>
      </c>
      <c r="D13" s="14">
        <v>18830</v>
      </c>
      <c r="E13" s="9" t="s">
        <v>140</v>
      </c>
      <c r="F13" s="10" t="s">
        <v>141</v>
      </c>
      <c r="G13" s="9">
        <v>1</v>
      </c>
      <c r="H13" s="96">
        <f>'TEC. QUÍM. FOZ-PR'!I165</f>
        <v>10884.918353866668</v>
      </c>
      <c r="I13" s="97">
        <f>G13*H13</f>
        <v>10884.918353866668</v>
      </c>
      <c r="J13" s="98">
        <f>24*I13</f>
        <v>261238.04049280001</v>
      </c>
      <c r="K13" s="17" t="s">
        <v>142</v>
      </c>
    </row>
    <row r="14" spans="1:11" x14ac:dyDescent="0.35">
      <c r="A14" s="132" t="s">
        <v>143</v>
      </c>
      <c r="B14" s="132"/>
      <c r="C14" s="132"/>
      <c r="D14" s="132"/>
      <c r="E14" s="132"/>
      <c r="F14" s="132"/>
      <c r="G14" s="132"/>
      <c r="H14" s="132"/>
      <c r="I14" s="132"/>
      <c r="J14" s="18">
        <f>SUM(J3:J13)</f>
        <v>2148667.8896744531</v>
      </c>
    </row>
    <row r="15" spans="1:11" x14ac:dyDescent="0.35">
      <c r="I15" s="20"/>
    </row>
  </sheetData>
  <mergeCells count="5">
    <mergeCell ref="A1:K1"/>
    <mergeCell ref="A5:A8"/>
    <mergeCell ref="A9:A10"/>
    <mergeCell ref="A11:A13"/>
    <mergeCell ref="A14:I14"/>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9E5FF-78BE-42A0-A760-8FA3B309F0D6}">
  <dimension ref="A1:IV167"/>
  <sheetViews>
    <sheetView topLeftCell="A99"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172</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ht="30" customHeight="1" x14ac:dyDescent="0.35">
      <c r="A15" s="45" t="s">
        <v>17</v>
      </c>
      <c r="B15" s="155" t="s">
        <v>147</v>
      </c>
      <c r="C15" s="156"/>
      <c r="D15" s="156"/>
      <c r="E15" s="156"/>
      <c r="F15" s="157"/>
      <c r="G15" s="158" t="s">
        <v>148</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45627</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153</v>
      </c>
      <c r="C22" s="166"/>
      <c r="D22" s="166"/>
      <c r="E22" s="166"/>
      <c r="F22" s="166"/>
      <c r="G22" s="166"/>
      <c r="H22" s="166"/>
      <c r="I22" s="62">
        <v>2427.48</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728.24</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3155.7200000000003</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262.87</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87.73</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350.6</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701.26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87.66</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105.19</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52.59</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35.06</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21.04</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7.01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1009.81</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280.51</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1290.32</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183</v>
      </c>
      <c r="C54" s="166"/>
      <c r="D54" s="166"/>
      <c r="E54" s="166"/>
      <c r="F54" s="166"/>
      <c r="G54" s="166"/>
      <c r="H54" s="166"/>
      <c r="I54" s="76">
        <f>(4.5*2*21.25)-(I22/100)*6</f>
        <v>45.601200000000006</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ht="28.5" customHeight="1" x14ac:dyDescent="0.35">
      <c r="A55" s="23"/>
      <c r="B55" s="172" t="s">
        <v>45</v>
      </c>
      <c r="C55" s="172"/>
      <c r="D55" s="172"/>
      <c r="E55" s="172"/>
      <c r="F55" s="172"/>
      <c r="G55" s="172"/>
      <c r="H55" s="79">
        <v>4.5</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0</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45.601200000000006</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350.6</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1290.32</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45.601200000000006</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1686.5212000000001</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6"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13.148833333333334</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1.06032192</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108.55676800000001</v>
      </c>
      <c r="K82" s="114"/>
      <c r="L82" s="116"/>
    </row>
    <row r="83" spans="1:256" ht="31.75" customHeight="1" x14ac:dyDescent="0.35">
      <c r="A83" s="23" t="s">
        <v>36</v>
      </c>
      <c r="B83" s="166" t="s">
        <v>203</v>
      </c>
      <c r="C83" s="166"/>
      <c r="D83" s="166"/>
      <c r="E83" s="166"/>
      <c r="F83" s="166"/>
      <c r="G83" s="166"/>
      <c r="H83" s="166"/>
      <c r="I83" s="118">
        <f>(7/30)/12*100%</f>
        <v>1.9444444444444445E-2</v>
      </c>
      <c r="J83" s="73">
        <f>I24*I83</f>
        <v>61.361222222222231</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22.529316224000002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1.9590709760000002</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208.61553267555558</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3155.7200000000003</v>
      </c>
      <c r="C93" s="27"/>
      <c r="D93" s="27" t="s">
        <v>160</v>
      </c>
      <c r="E93" s="82">
        <f>I75-I54-I59</f>
        <v>1640.92</v>
      </c>
      <c r="F93" s="26"/>
      <c r="G93" s="27" t="s">
        <v>63</v>
      </c>
      <c r="H93" s="82">
        <f>J86</f>
        <v>208.61553267555558</v>
      </c>
      <c r="I93" s="75">
        <f>B93+E93+H93</f>
        <v>5005.2555326755555</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262.97666666666669</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43.829444444444448</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0.6574416666666667</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2.3404923333333332</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9.2558529887999992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8.76588888888889</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327.82578698879996</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5050.8567326755556</v>
      </c>
      <c r="J132" s="34"/>
      <c r="K132" s="33"/>
      <c r="L132" s="33"/>
    </row>
    <row r="133" spans="1:256" ht="15.75" customHeight="1" x14ac:dyDescent="0.35">
      <c r="A133" s="23" t="s">
        <v>16</v>
      </c>
      <c r="B133" s="161" t="s">
        <v>6</v>
      </c>
      <c r="C133" s="161"/>
      <c r="D133" s="161"/>
      <c r="E133" s="161"/>
      <c r="F133" s="161"/>
      <c r="G133" s="161"/>
      <c r="H133" s="48">
        <v>5.21E-2</v>
      </c>
      <c r="I133" s="73">
        <f>ROUND(H133*I132,2)</f>
        <v>263.14999999999998</v>
      </c>
      <c r="J133" s="34"/>
      <c r="K133" s="33"/>
      <c r="L133" s="33"/>
    </row>
    <row r="134" spans="1:256" ht="59.25" customHeight="1" x14ac:dyDescent="0.35">
      <c r="A134" s="191" t="s">
        <v>84</v>
      </c>
      <c r="B134" s="191"/>
      <c r="C134" s="191"/>
      <c r="D134" s="191"/>
      <c r="E134" s="191"/>
      <c r="F134" s="191"/>
      <c r="G134" s="191"/>
      <c r="H134" s="51" t="s">
        <v>46</v>
      </c>
      <c r="I134" s="87">
        <f>I132+I133</f>
        <v>5314.0067326755552</v>
      </c>
      <c r="J134" s="34"/>
      <c r="K134" s="33"/>
      <c r="L134" s="33"/>
    </row>
    <row r="135" spans="1:256" ht="15.75" customHeight="1" x14ac:dyDescent="0.35">
      <c r="A135" s="23" t="s">
        <v>17</v>
      </c>
      <c r="B135" s="161" t="s">
        <v>8</v>
      </c>
      <c r="C135" s="161"/>
      <c r="D135" s="161"/>
      <c r="E135" s="161"/>
      <c r="F135" s="161"/>
      <c r="G135" s="161"/>
      <c r="H135" s="48">
        <v>9.2700000000000005E-2</v>
      </c>
      <c r="I135" s="73">
        <f>ROUND(H135*I134,2)</f>
        <v>492.61</v>
      </c>
      <c r="J135" s="34"/>
      <c r="K135" s="33"/>
      <c r="L135" s="33"/>
    </row>
    <row r="136" spans="1:256" ht="55.5" customHeight="1" x14ac:dyDescent="0.35">
      <c r="A136" s="191" t="s">
        <v>85</v>
      </c>
      <c r="B136" s="191"/>
      <c r="C136" s="191"/>
      <c r="D136" s="191"/>
      <c r="E136" s="191"/>
      <c r="F136" s="191"/>
      <c r="G136" s="191"/>
      <c r="H136" s="51" t="s">
        <v>46</v>
      </c>
      <c r="I136" s="87">
        <f>SUM(I132+I133+I135)</f>
        <v>5806.6167326755549</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514.64</v>
      </c>
      <c r="J139" s="89" t="s">
        <v>166</v>
      </c>
      <c r="K139" s="33"/>
      <c r="L139" s="33"/>
    </row>
    <row r="140" spans="1:256" x14ac:dyDescent="0.35">
      <c r="A140" s="23"/>
      <c r="B140" s="195" t="s">
        <v>88</v>
      </c>
      <c r="C140" s="195"/>
      <c r="D140" s="195"/>
      <c r="E140" s="195"/>
      <c r="F140" s="195"/>
      <c r="G140" s="195"/>
      <c r="H140" s="52">
        <v>1.6500000000000001E-2</v>
      </c>
      <c r="I140" s="73">
        <f>ROUND(($I$136/(1-$H$149))*H140,2)</f>
        <v>111.73</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338.58</v>
      </c>
      <c r="J145" s="34"/>
      <c r="K145" s="33"/>
      <c r="L145" s="33"/>
    </row>
    <row r="146" spans="1:12" ht="15.75" customHeight="1" x14ac:dyDescent="0.35">
      <c r="A146" s="164" t="s">
        <v>1</v>
      </c>
      <c r="B146" s="164"/>
      <c r="C146" s="164"/>
      <c r="D146" s="164"/>
      <c r="E146" s="164"/>
      <c r="F146" s="164"/>
      <c r="G146" s="164"/>
      <c r="H146" s="164"/>
      <c r="I146" s="74">
        <f>SUM(I133+I135+I139+I140+I145)</f>
        <v>1720.71</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964.95</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3155.7200000000003</v>
      </c>
      <c r="J158" s="34"/>
      <c r="K158" s="33"/>
      <c r="L158" s="33"/>
    </row>
    <row r="159" spans="1:12" ht="15" customHeight="1" x14ac:dyDescent="0.35">
      <c r="A159" s="53" t="s">
        <v>17</v>
      </c>
      <c r="B159" s="166" t="s">
        <v>19</v>
      </c>
      <c r="C159" s="166"/>
      <c r="D159" s="166"/>
      <c r="E159" s="166"/>
      <c r="F159" s="166"/>
      <c r="G159" s="166"/>
      <c r="H159" s="166"/>
      <c r="I159" s="75">
        <f>I75</f>
        <v>1686.5212000000001</v>
      </c>
      <c r="J159" s="34"/>
      <c r="K159" s="33"/>
      <c r="L159" s="33"/>
    </row>
    <row r="160" spans="1:12" ht="15" customHeight="1" x14ac:dyDescent="0.35">
      <c r="A160" s="53" t="s">
        <v>33</v>
      </c>
      <c r="B160" s="166" t="s">
        <v>100</v>
      </c>
      <c r="C160" s="166"/>
      <c r="D160" s="166"/>
      <c r="E160" s="166"/>
      <c r="F160" s="166"/>
      <c r="G160" s="166"/>
      <c r="H160" s="166"/>
      <c r="I160" s="75">
        <f>J86</f>
        <v>208.61553267555558</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5050.8567326755556</v>
      </c>
      <c r="J163" s="34"/>
      <c r="K163" s="33"/>
      <c r="L163" s="33"/>
    </row>
    <row r="164" spans="1:12" ht="15" customHeight="1" x14ac:dyDescent="0.35">
      <c r="A164" s="53" t="s">
        <v>39</v>
      </c>
      <c r="B164" s="149" t="s">
        <v>104</v>
      </c>
      <c r="C164" s="149"/>
      <c r="D164" s="149"/>
      <c r="E164" s="149"/>
      <c r="F164" s="149"/>
      <c r="G164" s="149"/>
      <c r="H164" s="149"/>
      <c r="I164" s="75">
        <f>I146</f>
        <v>1720.71</v>
      </c>
      <c r="J164" s="34"/>
      <c r="K164" s="33"/>
      <c r="L164" s="33"/>
    </row>
    <row r="165" spans="1:12" ht="15" customHeight="1" x14ac:dyDescent="0.35">
      <c r="A165" s="199" t="s">
        <v>105</v>
      </c>
      <c r="B165" s="199"/>
      <c r="C165" s="199"/>
      <c r="D165" s="199"/>
      <c r="E165" s="199"/>
      <c r="F165" s="199"/>
      <c r="G165" s="199"/>
      <c r="H165" s="199"/>
      <c r="I165" s="88">
        <f>SUM(I163:I164)</f>
        <v>6771.5667326755556</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B1670-45B2-4248-93DD-A52546864FED}">
  <dimension ref="A1:IV167"/>
  <sheetViews>
    <sheetView topLeftCell="A140"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177</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ht="30" customHeight="1" x14ac:dyDescent="0.35">
      <c r="A15" s="45" t="s">
        <v>17</v>
      </c>
      <c r="B15" s="155" t="s">
        <v>147</v>
      </c>
      <c r="C15" s="156"/>
      <c r="D15" s="156"/>
      <c r="E15" s="156"/>
      <c r="F15" s="157"/>
      <c r="G15" s="158" t="s">
        <v>148</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45627</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153</v>
      </c>
      <c r="C22" s="166"/>
      <c r="D22" s="166"/>
      <c r="E22" s="166"/>
      <c r="F22" s="166"/>
      <c r="G22" s="166"/>
      <c r="H22" s="166"/>
      <c r="I22" s="62">
        <v>2427.48</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728.24</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3155.7200000000003</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262.87</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87.73</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350.6</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701.26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87.66</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105.19</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52.59</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35.06</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21.04</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7.01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1009.81</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280.51</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1290.32</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183</v>
      </c>
      <c r="C54" s="166"/>
      <c r="D54" s="166"/>
      <c r="E54" s="166"/>
      <c r="F54" s="166"/>
      <c r="G54" s="166"/>
      <c r="H54" s="166"/>
      <c r="I54" s="76">
        <f>(4.5*2*21.25)-(I22/100)*6</f>
        <v>45.601200000000006</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ht="28.5" customHeight="1" x14ac:dyDescent="0.35">
      <c r="A55" s="23"/>
      <c r="B55" s="172" t="s">
        <v>45</v>
      </c>
      <c r="C55" s="172"/>
      <c r="D55" s="172"/>
      <c r="E55" s="172"/>
      <c r="F55" s="172"/>
      <c r="G55" s="172"/>
      <c r="H55" s="79">
        <v>4.5</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0</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45.601200000000006</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350.6</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1290.32</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45.601200000000006</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1686.5212000000001</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5"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13.148833333333334</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1.06032192</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108.55676800000001</v>
      </c>
      <c r="K82" s="114"/>
      <c r="L82" s="116"/>
    </row>
    <row r="83" spans="1:256" ht="31.75" customHeight="1" x14ac:dyDescent="0.35">
      <c r="A83" s="23" t="s">
        <v>36</v>
      </c>
      <c r="B83" s="166" t="s">
        <v>203</v>
      </c>
      <c r="C83" s="166"/>
      <c r="D83" s="166"/>
      <c r="E83" s="166"/>
      <c r="F83" s="166"/>
      <c r="G83" s="166"/>
      <c r="H83" s="166"/>
      <c r="I83" s="118">
        <f>(7/30)/12*100%</f>
        <v>1.9444444444444445E-2</v>
      </c>
      <c r="J83" s="73">
        <f>I24*I83</f>
        <v>61.361222222222231</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22.529316224000002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1.9590709760000002</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208.61553267555558</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3155.7200000000003</v>
      </c>
      <c r="C93" s="27"/>
      <c r="D93" s="27" t="s">
        <v>160</v>
      </c>
      <c r="E93" s="82">
        <f>I75-I54-I59</f>
        <v>1640.92</v>
      </c>
      <c r="F93" s="26"/>
      <c r="G93" s="27" t="s">
        <v>63</v>
      </c>
      <c r="H93" s="82">
        <f>J86</f>
        <v>208.61553267555558</v>
      </c>
      <c r="I93" s="75">
        <f>B93+E93+H93</f>
        <v>5005.2555326755555</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262.97666666666669</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43.829444444444448</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0.6574416666666667</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2.3404923333333332</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9.2558529887999992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8.76588888888889</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327.82578698879996</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5050.8567326755556</v>
      </c>
      <c r="J132" s="34"/>
      <c r="K132" s="33"/>
      <c r="L132" s="33"/>
    </row>
    <row r="133" spans="1:256" ht="15.75" customHeight="1" x14ac:dyDescent="0.35">
      <c r="A133" s="23" t="s">
        <v>16</v>
      </c>
      <c r="B133" s="161" t="s">
        <v>6</v>
      </c>
      <c r="C133" s="161"/>
      <c r="D133" s="161"/>
      <c r="E133" s="161"/>
      <c r="F133" s="161"/>
      <c r="G133" s="161"/>
      <c r="H133" s="48">
        <v>5.21E-2</v>
      </c>
      <c r="I133" s="73">
        <f>ROUND(H133*I132,2)</f>
        <v>263.14999999999998</v>
      </c>
      <c r="J133" s="34"/>
      <c r="K133" s="33"/>
      <c r="L133" s="33"/>
    </row>
    <row r="134" spans="1:256" ht="59.25" customHeight="1" x14ac:dyDescent="0.35">
      <c r="A134" s="191" t="s">
        <v>84</v>
      </c>
      <c r="B134" s="191"/>
      <c r="C134" s="191"/>
      <c r="D134" s="191"/>
      <c r="E134" s="191"/>
      <c r="F134" s="191"/>
      <c r="G134" s="191"/>
      <c r="H134" s="51" t="s">
        <v>46</v>
      </c>
      <c r="I134" s="87">
        <f>I132+I133</f>
        <v>5314.0067326755552</v>
      </c>
      <c r="J134" s="34"/>
      <c r="K134" s="33"/>
      <c r="L134" s="33"/>
    </row>
    <row r="135" spans="1:256" ht="15.75" customHeight="1" x14ac:dyDescent="0.35">
      <c r="A135" s="23" t="s">
        <v>17</v>
      </c>
      <c r="B135" s="161" t="s">
        <v>8</v>
      </c>
      <c r="C135" s="161"/>
      <c r="D135" s="161"/>
      <c r="E135" s="161"/>
      <c r="F135" s="161"/>
      <c r="G135" s="161"/>
      <c r="H135" s="48">
        <v>9.2700000000000005E-2</v>
      </c>
      <c r="I135" s="73">
        <f>ROUND(H135*I134,2)</f>
        <v>492.61</v>
      </c>
      <c r="J135" s="34"/>
      <c r="K135" s="33"/>
      <c r="L135" s="33"/>
    </row>
    <row r="136" spans="1:256" ht="55.5" customHeight="1" x14ac:dyDescent="0.35">
      <c r="A136" s="191" t="s">
        <v>85</v>
      </c>
      <c r="B136" s="191"/>
      <c r="C136" s="191"/>
      <c r="D136" s="191"/>
      <c r="E136" s="191"/>
      <c r="F136" s="191"/>
      <c r="G136" s="191"/>
      <c r="H136" s="51" t="s">
        <v>46</v>
      </c>
      <c r="I136" s="87">
        <f>SUM(I132+I133+I135)</f>
        <v>5806.6167326755549</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514.64</v>
      </c>
      <c r="J139" s="89" t="s">
        <v>166</v>
      </c>
      <c r="K139" s="33"/>
      <c r="L139" s="33"/>
    </row>
    <row r="140" spans="1:256" x14ac:dyDescent="0.35">
      <c r="A140" s="23"/>
      <c r="B140" s="195" t="s">
        <v>88</v>
      </c>
      <c r="C140" s="195"/>
      <c r="D140" s="195"/>
      <c r="E140" s="195"/>
      <c r="F140" s="195"/>
      <c r="G140" s="195"/>
      <c r="H140" s="52">
        <v>1.6500000000000001E-2</v>
      </c>
      <c r="I140" s="73">
        <f>ROUND(($I$136/(1-$H$149))*H140,2)</f>
        <v>111.73</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338.58</v>
      </c>
      <c r="J145" s="34"/>
      <c r="K145" s="33"/>
      <c r="L145" s="33"/>
    </row>
    <row r="146" spans="1:12" ht="15.75" customHeight="1" x14ac:dyDescent="0.35">
      <c r="A146" s="164" t="s">
        <v>1</v>
      </c>
      <c r="B146" s="164"/>
      <c r="C146" s="164"/>
      <c r="D146" s="164"/>
      <c r="E146" s="164"/>
      <c r="F146" s="164"/>
      <c r="G146" s="164"/>
      <c r="H146" s="164"/>
      <c r="I146" s="74">
        <f>SUM(I133+I135+I139+I140+I145)</f>
        <v>1720.71</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964.95</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3155.7200000000003</v>
      </c>
      <c r="J158" s="34"/>
      <c r="K158" s="33"/>
      <c r="L158" s="33"/>
    </row>
    <row r="159" spans="1:12" ht="15" customHeight="1" x14ac:dyDescent="0.35">
      <c r="A159" s="53" t="s">
        <v>17</v>
      </c>
      <c r="B159" s="166" t="s">
        <v>19</v>
      </c>
      <c r="C159" s="166"/>
      <c r="D159" s="166"/>
      <c r="E159" s="166"/>
      <c r="F159" s="166"/>
      <c r="G159" s="166"/>
      <c r="H159" s="166"/>
      <c r="I159" s="75">
        <f>I75</f>
        <v>1686.5212000000001</v>
      </c>
      <c r="J159" s="34"/>
      <c r="K159" s="33"/>
      <c r="L159" s="33"/>
    </row>
    <row r="160" spans="1:12" ht="15" customHeight="1" x14ac:dyDescent="0.35">
      <c r="A160" s="53" t="s">
        <v>33</v>
      </c>
      <c r="B160" s="166" t="s">
        <v>100</v>
      </c>
      <c r="C160" s="166"/>
      <c r="D160" s="166"/>
      <c r="E160" s="166"/>
      <c r="F160" s="166"/>
      <c r="G160" s="166"/>
      <c r="H160" s="166"/>
      <c r="I160" s="75">
        <f>J86</f>
        <v>208.61553267555558</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5050.8567326755556</v>
      </c>
      <c r="J163" s="34"/>
      <c r="K163" s="33"/>
      <c r="L163" s="33"/>
    </row>
    <row r="164" spans="1:12" ht="15" customHeight="1" x14ac:dyDescent="0.35">
      <c r="A164" s="53" t="s">
        <v>39</v>
      </c>
      <c r="B164" s="149" t="s">
        <v>104</v>
      </c>
      <c r="C164" s="149"/>
      <c r="D164" s="149"/>
      <c r="E164" s="149"/>
      <c r="F164" s="149"/>
      <c r="G164" s="149"/>
      <c r="H164" s="149"/>
      <c r="I164" s="75">
        <f>I146</f>
        <v>1720.71</v>
      </c>
      <c r="J164" s="34"/>
      <c r="K164" s="33"/>
      <c r="L164" s="33"/>
    </row>
    <row r="165" spans="1:12" ht="15" customHeight="1" x14ac:dyDescent="0.35">
      <c r="A165" s="199" t="s">
        <v>105</v>
      </c>
      <c r="B165" s="199"/>
      <c r="C165" s="199"/>
      <c r="D165" s="199"/>
      <c r="E165" s="199"/>
      <c r="F165" s="199"/>
      <c r="G165" s="199"/>
      <c r="H165" s="199"/>
      <c r="I165" s="88">
        <f>SUM(I163:I164)</f>
        <v>6771.5667326755556</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0D167-314D-4E01-A843-1DD5E5E05D71}">
  <dimension ref="A1:IV167"/>
  <sheetViews>
    <sheetView topLeftCell="A137"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171</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x14ac:dyDescent="0.35">
      <c r="A15" s="45" t="s">
        <v>17</v>
      </c>
      <c r="B15" s="155" t="s">
        <v>147</v>
      </c>
      <c r="C15" s="156"/>
      <c r="D15" s="156"/>
      <c r="E15" s="156"/>
      <c r="F15" s="157"/>
      <c r="G15" s="158" t="s">
        <v>192</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45536</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193</v>
      </c>
      <c r="C22" s="166"/>
      <c r="D22" s="166"/>
      <c r="E22" s="166"/>
      <c r="F22" s="166"/>
      <c r="G22" s="166"/>
      <c r="H22" s="166"/>
      <c r="I22" s="62">
        <v>3714</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1114.2</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4828.2</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402.19</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134.22</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536.41</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1072.92</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134.12</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38" customHeight="1" x14ac:dyDescent="0.35">
      <c r="A41" s="23" t="s">
        <v>33</v>
      </c>
      <c r="B41" s="168" t="s">
        <v>155</v>
      </c>
      <c r="C41" s="168"/>
      <c r="D41" s="24" t="s">
        <v>34</v>
      </c>
      <c r="E41" s="65">
        <v>0.03</v>
      </c>
      <c r="F41" s="24" t="s">
        <v>35</v>
      </c>
      <c r="G41" s="66">
        <v>1</v>
      </c>
      <c r="H41" s="48">
        <f>ROUND((E41*G41),6)</f>
        <v>0.03</v>
      </c>
      <c r="I41" s="73">
        <f t="shared" si="0"/>
        <v>160.94</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80.47</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53.65</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32.19</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10.73</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1545.0200000000002</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429.17</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1974.1900000000003</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157</v>
      </c>
      <c r="C54" s="166"/>
      <c r="D54" s="166"/>
      <c r="E54" s="166"/>
      <c r="F54" s="166"/>
      <c r="G54" s="166"/>
      <c r="H54" s="166"/>
      <c r="I54" s="76">
        <v>0</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ht="28.5" customHeight="1" x14ac:dyDescent="0.35">
      <c r="A55" s="23"/>
      <c r="B55" s="172" t="s">
        <v>45</v>
      </c>
      <c r="C55" s="172"/>
      <c r="D55" s="172"/>
      <c r="E55" s="172"/>
      <c r="F55" s="172"/>
      <c r="G55" s="172"/>
      <c r="H55" s="79">
        <v>4.5</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73">
        <f>H60-H62</f>
        <v>461</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194</v>
      </c>
      <c r="C60" s="172"/>
      <c r="D60" s="172"/>
      <c r="E60" s="172"/>
      <c r="F60" s="172"/>
      <c r="G60" s="172"/>
      <c r="H60" s="79">
        <v>466</v>
      </c>
      <c r="I60" s="49"/>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0</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87">
        <v>5</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461</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536.41</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1974.1900000000003</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461</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2971.6000000000004</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6"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20.1175</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1.6222751999999998</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166.09008</v>
      </c>
      <c r="K82" s="114"/>
      <c r="L82" s="116"/>
    </row>
    <row r="83" spans="1:256" ht="31.75" customHeight="1" x14ac:dyDescent="0.35">
      <c r="A83" s="23" t="s">
        <v>36</v>
      </c>
      <c r="B83" s="166" t="s">
        <v>203</v>
      </c>
      <c r="C83" s="166"/>
      <c r="D83" s="166"/>
      <c r="E83" s="166"/>
      <c r="F83" s="166"/>
      <c r="G83" s="166"/>
      <c r="H83" s="166"/>
      <c r="I83" s="118">
        <f>(7/30)/12*100%</f>
        <v>1.9444444444444445E-2</v>
      </c>
      <c r="J83" s="73">
        <f>I24*I83</f>
        <v>93.881666666666661</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34.46948544</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2.99734656</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319.17835386666661</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4828.2</v>
      </c>
      <c r="C93" s="27"/>
      <c r="D93" s="27" t="s">
        <v>160</v>
      </c>
      <c r="E93" s="82">
        <f>I75-I54-I59</f>
        <v>2510.6000000000004</v>
      </c>
      <c r="F93" s="26"/>
      <c r="G93" s="27" t="s">
        <v>63</v>
      </c>
      <c r="H93" s="82">
        <f>J86</f>
        <v>319.17835386666661</v>
      </c>
      <c r="I93" s="75">
        <f>B93+E93+H93</f>
        <v>7657.978353866667</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s="101" customFormat="1" ht="17.5" customHeight="1" x14ac:dyDescent="0.35">
      <c r="A94" s="202"/>
      <c r="B94" s="202"/>
      <c r="C94" s="202"/>
      <c r="D94" s="202"/>
      <c r="E94" s="202"/>
      <c r="F94" s="202"/>
      <c r="G94" s="202"/>
      <c r="H94" s="202"/>
      <c r="I94" s="203"/>
      <c r="J94"/>
      <c r="K94" s="100"/>
    </row>
    <row r="95" spans="1:256" customFormat="1" ht="17.5" customHeight="1" x14ac:dyDescent="0.35">
      <c r="A95" s="125"/>
      <c r="B95" s="125"/>
      <c r="C95" s="125"/>
      <c r="D95" s="125"/>
      <c r="E95" s="125"/>
      <c r="F95" s="125"/>
      <c r="G95" s="125"/>
      <c r="H95" s="125"/>
      <c r="I95" s="125"/>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402.34999999999997</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67.058333333333323</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1.0058749999999999</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3.5809149999999996</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14.161303727999998</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13.411666666666667</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501.56809372800001</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8118.978353866667</v>
      </c>
      <c r="J132" s="34"/>
      <c r="K132" s="33"/>
      <c r="L132" s="33"/>
    </row>
    <row r="133" spans="1:256" ht="15.75" customHeight="1" x14ac:dyDescent="0.35">
      <c r="A133" s="23" t="s">
        <v>16</v>
      </c>
      <c r="B133" s="161" t="s">
        <v>6</v>
      </c>
      <c r="C133" s="161"/>
      <c r="D133" s="161"/>
      <c r="E133" s="161"/>
      <c r="F133" s="161"/>
      <c r="G133" s="161"/>
      <c r="H133" s="48">
        <v>5.21E-2</v>
      </c>
      <c r="I133" s="73">
        <f>ROUND(H133*I132,2)</f>
        <v>423</v>
      </c>
      <c r="J133" s="34"/>
      <c r="K133" s="33"/>
      <c r="L133" s="33"/>
    </row>
    <row r="134" spans="1:256" ht="59.25" customHeight="1" x14ac:dyDescent="0.35">
      <c r="A134" s="191" t="s">
        <v>84</v>
      </c>
      <c r="B134" s="191"/>
      <c r="C134" s="191"/>
      <c r="D134" s="191"/>
      <c r="E134" s="191"/>
      <c r="F134" s="191"/>
      <c r="G134" s="191"/>
      <c r="H134" s="51" t="s">
        <v>46</v>
      </c>
      <c r="I134" s="87">
        <f>I132+I133</f>
        <v>8541.978353866667</v>
      </c>
      <c r="J134" s="34"/>
      <c r="K134" s="33"/>
      <c r="L134" s="33"/>
    </row>
    <row r="135" spans="1:256" ht="15.75" customHeight="1" x14ac:dyDescent="0.35">
      <c r="A135" s="23" t="s">
        <v>17</v>
      </c>
      <c r="B135" s="161" t="s">
        <v>8</v>
      </c>
      <c r="C135" s="161"/>
      <c r="D135" s="161"/>
      <c r="E135" s="161"/>
      <c r="F135" s="161"/>
      <c r="G135" s="161"/>
      <c r="H135" s="48">
        <v>9.2700000000000005E-2</v>
      </c>
      <c r="I135" s="73">
        <f>ROUND(H135*I134,2)</f>
        <v>791.84</v>
      </c>
      <c r="J135" s="34"/>
      <c r="K135" s="33"/>
      <c r="L135" s="33"/>
    </row>
    <row r="136" spans="1:256" ht="55.5" customHeight="1" x14ac:dyDescent="0.35">
      <c r="A136" s="191" t="s">
        <v>85</v>
      </c>
      <c r="B136" s="191"/>
      <c r="C136" s="191"/>
      <c r="D136" s="191"/>
      <c r="E136" s="191"/>
      <c r="F136" s="191"/>
      <c r="G136" s="191"/>
      <c r="H136" s="51" t="s">
        <v>46</v>
      </c>
      <c r="I136" s="87">
        <f>SUM(I132+I133+I135)</f>
        <v>9333.8183538666672</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827.25</v>
      </c>
      <c r="J139" s="89" t="s">
        <v>166</v>
      </c>
      <c r="K139" s="33"/>
      <c r="L139" s="33"/>
    </row>
    <row r="140" spans="1:256" x14ac:dyDescent="0.35">
      <c r="A140" s="23"/>
      <c r="B140" s="195" t="s">
        <v>88</v>
      </c>
      <c r="C140" s="195"/>
      <c r="D140" s="195"/>
      <c r="E140" s="195"/>
      <c r="F140" s="195"/>
      <c r="G140" s="195"/>
      <c r="H140" s="52">
        <v>1.6500000000000001E-2</v>
      </c>
      <c r="I140" s="73">
        <f>ROUND(($I$136/(1-$H$149))*H140,2)</f>
        <v>179.6</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544.25</v>
      </c>
      <c r="J145" s="34"/>
      <c r="K145" s="33"/>
      <c r="L145" s="33"/>
    </row>
    <row r="146" spans="1:12" ht="15.75" customHeight="1" x14ac:dyDescent="0.35">
      <c r="A146" s="164" t="s">
        <v>1</v>
      </c>
      <c r="B146" s="164"/>
      <c r="C146" s="164"/>
      <c r="D146" s="164"/>
      <c r="E146" s="164"/>
      <c r="F146" s="164"/>
      <c r="G146" s="164"/>
      <c r="H146" s="164"/>
      <c r="I146" s="74">
        <f>SUM(I133+I135+I139+I140+I145)</f>
        <v>2765.94</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1551.1</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4828.2</v>
      </c>
      <c r="J158" s="34"/>
      <c r="K158" s="33"/>
      <c r="L158" s="33"/>
    </row>
    <row r="159" spans="1:12" ht="15" customHeight="1" x14ac:dyDescent="0.35">
      <c r="A159" s="53" t="s">
        <v>17</v>
      </c>
      <c r="B159" s="166" t="s">
        <v>19</v>
      </c>
      <c r="C159" s="166"/>
      <c r="D159" s="166"/>
      <c r="E159" s="166"/>
      <c r="F159" s="166"/>
      <c r="G159" s="166"/>
      <c r="H159" s="166"/>
      <c r="I159" s="75">
        <f>I75</f>
        <v>2971.6000000000004</v>
      </c>
      <c r="J159" s="34"/>
      <c r="K159" s="33"/>
      <c r="L159" s="33"/>
    </row>
    <row r="160" spans="1:12" ht="15" customHeight="1" x14ac:dyDescent="0.35">
      <c r="A160" s="53" t="s">
        <v>33</v>
      </c>
      <c r="B160" s="166" t="s">
        <v>100</v>
      </c>
      <c r="C160" s="166"/>
      <c r="D160" s="166"/>
      <c r="E160" s="166"/>
      <c r="F160" s="166"/>
      <c r="G160" s="166"/>
      <c r="H160" s="166"/>
      <c r="I160" s="75">
        <f>J86</f>
        <v>319.17835386666661</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8118.978353866667</v>
      </c>
      <c r="J163" s="34"/>
      <c r="K163" s="33"/>
      <c r="L163" s="33"/>
    </row>
    <row r="164" spans="1:12" ht="15" customHeight="1" x14ac:dyDescent="0.35">
      <c r="A164" s="53" t="s">
        <v>39</v>
      </c>
      <c r="B164" s="149" t="s">
        <v>104</v>
      </c>
      <c r="C164" s="149"/>
      <c r="D164" s="149"/>
      <c r="E164" s="149"/>
      <c r="F164" s="149"/>
      <c r="G164" s="149"/>
      <c r="H164" s="149"/>
      <c r="I164" s="75">
        <f>I146</f>
        <v>2765.94</v>
      </c>
      <c r="J164" s="34"/>
      <c r="K164" s="33"/>
      <c r="L164" s="33"/>
    </row>
    <row r="165" spans="1:12" ht="15" customHeight="1" x14ac:dyDescent="0.35">
      <c r="A165" s="199" t="s">
        <v>105</v>
      </c>
      <c r="B165" s="199"/>
      <c r="C165" s="199"/>
      <c r="D165" s="199"/>
      <c r="E165" s="199"/>
      <c r="F165" s="199"/>
      <c r="G165" s="199"/>
      <c r="H165" s="199"/>
      <c r="I165" s="88">
        <f>SUM(I163:I164)</f>
        <v>10884.918353866668</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E5E3-FA63-4B17-AEB3-13557BBB0115}">
  <dimension ref="A1:IV167"/>
  <sheetViews>
    <sheetView topLeftCell="A140" workbookViewId="0">
      <selection activeCell="I136" sqref="I136"/>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168</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x14ac:dyDescent="0.35">
      <c r="A15" s="45" t="s">
        <v>17</v>
      </c>
      <c r="B15" s="155" t="s">
        <v>147</v>
      </c>
      <c r="C15" s="156"/>
      <c r="D15" s="156"/>
      <c r="E15" s="156"/>
      <c r="F15" s="157"/>
      <c r="G15" s="158" t="s">
        <v>179</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45383</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180</v>
      </c>
      <c r="C22" s="166"/>
      <c r="D22" s="166"/>
      <c r="E22" s="166"/>
      <c r="F22" s="166"/>
      <c r="G22" s="166"/>
      <c r="H22" s="166"/>
      <c r="I22" s="62">
        <v>1400</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420</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1820</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151.61000000000001</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50.6</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202.21</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404.44</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50.56</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60.67</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30.33</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20.22</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12.13</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4.04</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582.39</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161.78</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744.17</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x14ac:dyDescent="0.35">
      <c r="A54" s="23" t="s">
        <v>16</v>
      </c>
      <c r="B54" s="166" t="s">
        <v>184</v>
      </c>
      <c r="C54" s="166"/>
      <c r="D54" s="166"/>
      <c r="E54" s="166"/>
      <c r="F54" s="166"/>
      <c r="G54" s="166"/>
      <c r="H54" s="166"/>
      <c r="I54" s="76">
        <f>(4.5*2*21.25)-(I22/100)*6</f>
        <v>107.25</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x14ac:dyDescent="0.35">
      <c r="A55" s="23"/>
      <c r="B55" s="172" t="s">
        <v>45</v>
      </c>
      <c r="C55" s="172"/>
      <c r="D55" s="172"/>
      <c r="E55" s="172"/>
      <c r="F55" s="172"/>
      <c r="G55" s="172"/>
      <c r="H55" s="79">
        <v>4.5</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0</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107.25</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202.21</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744.17</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107.25</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1053.6300000000001</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6"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7.583333333333333</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0.61151999999999995</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62.607999999999997</v>
      </c>
      <c r="K82" s="114"/>
      <c r="L82" s="116"/>
    </row>
    <row r="83" spans="1:256" ht="31.75" customHeight="1" x14ac:dyDescent="0.35">
      <c r="A83" s="23" t="s">
        <v>36</v>
      </c>
      <c r="B83" s="166" t="s">
        <v>203</v>
      </c>
      <c r="C83" s="166"/>
      <c r="D83" s="166"/>
      <c r="E83" s="166"/>
      <c r="F83" s="166"/>
      <c r="G83" s="166"/>
      <c r="H83" s="166"/>
      <c r="I83" s="118">
        <f>(7/30)/12*100%</f>
        <v>1.9444444444444445E-2</v>
      </c>
      <c r="J83" s="73">
        <f>I24*I83</f>
        <v>35.388888888888893</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12.993344</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1.129856</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120.31494222222223</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1820</v>
      </c>
      <c r="C93" s="27"/>
      <c r="D93" s="27" t="s">
        <v>160</v>
      </c>
      <c r="E93" s="82">
        <f>I75-I54-I59</f>
        <v>946.38000000000011</v>
      </c>
      <c r="F93" s="26"/>
      <c r="G93" s="27" t="s">
        <v>63</v>
      </c>
      <c r="H93" s="82">
        <f>J86</f>
        <v>120.31494222222223</v>
      </c>
      <c r="I93" s="75">
        <f>B93+E93+H93</f>
        <v>2886.6949422222224</v>
      </c>
      <c r="J93" s="34"/>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s="34"/>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151.66666666666666</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25.277777777777775</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0.37916666666666665</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1.3498333333333332</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5.3381327999999995</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5.0555555555555554</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189.06713279999997</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2993.9449422222224</v>
      </c>
      <c r="J132" s="34"/>
      <c r="K132" s="33"/>
      <c r="L132" s="33"/>
    </row>
    <row r="133" spans="1:256" ht="15.75" customHeight="1" x14ac:dyDescent="0.35">
      <c r="A133" s="23" t="s">
        <v>16</v>
      </c>
      <c r="B133" s="161" t="s">
        <v>6</v>
      </c>
      <c r="C133" s="161"/>
      <c r="D133" s="161"/>
      <c r="E133" s="161"/>
      <c r="F133" s="161"/>
      <c r="G133" s="161"/>
      <c r="H133" s="48">
        <v>5.21E-2</v>
      </c>
      <c r="I133" s="73">
        <f>ROUND(H133*I132,2)</f>
        <v>155.97999999999999</v>
      </c>
      <c r="J133" s="34"/>
      <c r="K133" s="33"/>
      <c r="L133" s="33"/>
    </row>
    <row r="134" spans="1:256" ht="59.25" customHeight="1" x14ac:dyDescent="0.35">
      <c r="A134" s="191" t="s">
        <v>84</v>
      </c>
      <c r="B134" s="191"/>
      <c r="C134" s="191"/>
      <c r="D134" s="191"/>
      <c r="E134" s="191"/>
      <c r="F134" s="191"/>
      <c r="G134" s="191"/>
      <c r="H134" s="51" t="s">
        <v>46</v>
      </c>
      <c r="I134" s="87">
        <f>I132+I133</f>
        <v>3149.9249422222224</v>
      </c>
      <c r="J134" s="34"/>
      <c r="K134" s="33"/>
      <c r="L134" s="33"/>
    </row>
    <row r="135" spans="1:256" ht="15.75" customHeight="1" x14ac:dyDescent="0.35">
      <c r="A135" s="23" t="s">
        <v>17</v>
      </c>
      <c r="B135" s="161" t="s">
        <v>8</v>
      </c>
      <c r="C135" s="161"/>
      <c r="D135" s="161"/>
      <c r="E135" s="161"/>
      <c r="F135" s="161"/>
      <c r="G135" s="161"/>
      <c r="H135" s="48">
        <v>9.2700000000000005E-2</v>
      </c>
      <c r="I135" s="73">
        <f>ROUND(H135*I134,2)</f>
        <v>292</v>
      </c>
      <c r="J135" s="34"/>
      <c r="K135" s="33"/>
      <c r="L135" s="33"/>
    </row>
    <row r="136" spans="1:256" ht="55.5" customHeight="1" x14ac:dyDescent="0.35">
      <c r="A136" s="191" t="s">
        <v>85</v>
      </c>
      <c r="B136" s="191"/>
      <c r="C136" s="191"/>
      <c r="D136" s="191"/>
      <c r="E136" s="191"/>
      <c r="F136" s="191"/>
      <c r="G136" s="191"/>
      <c r="H136" s="51" t="s">
        <v>46</v>
      </c>
      <c r="I136" s="87">
        <f>SUM(I132+I133+I135)</f>
        <v>3441.9249422222224</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305.06</v>
      </c>
      <c r="J139" s="89" t="s">
        <v>166</v>
      </c>
      <c r="K139" s="33"/>
      <c r="L139" s="33"/>
    </row>
    <row r="140" spans="1:256" x14ac:dyDescent="0.35">
      <c r="A140" s="23"/>
      <c r="B140" s="195" t="s">
        <v>88</v>
      </c>
      <c r="C140" s="195"/>
      <c r="D140" s="195"/>
      <c r="E140" s="195"/>
      <c r="F140" s="195"/>
      <c r="G140" s="195"/>
      <c r="H140" s="52">
        <v>1.6500000000000001E-2</v>
      </c>
      <c r="I140" s="73">
        <f>ROUND(($I$136/(1-$H$149))*H140,2)</f>
        <v>66.23</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200.7</v>
      </c>
      <c r="J145" s="34"/>
      <c r="K145" s="33"/>
      <c r="L145" s="33"/>
    </row>
    <row r="146" spans="1:12" ht="15.75" customHeight="1" x14ac:dyDescent="0.35">
      <c r="A146" s="164" t="s">
        <v>1</v>
      </c>
      <c r="B146" s="164"/>
      <c r="C146" s="164"/>
      <c r="D146" s="164"/>
      <c r="E146" s="164"/>
      <c r="F146" s="164"/>
      <c r="G146" s="164"/>
      <c r="H146" s="164"/>
      <c r="I146" s="74">
        <f>SUM(I133+I135+I139+I140+I145)</f>
        <v>1019.97</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571.99</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1820</v>
      </c>
      <c r="J158" s="34"/>
      <c r="K158" s="33"/>
      <c r="L158" s="33"/>
    </row>
    <row r="159" spans="1:12" ht="15" customHeight="1" x14ac:dyDescent="0.35">
      <c r="A159" s="53" t="s">
        <v>17</v>
      </c>
      <c r="B159" s="166" t="s">
        <v>19</v>
      </c>
      <c r="C159" s="166"/>
      <c r="D159" s="166"/>
      <c r="E159" s="166"/>
      <c r="F159" s="166"/>
      <c r="G159" s="166"/>
      <c r="H159" s="166"/>
      <c r="I159" s="75">
        <f>I75</f>
        <v>1053.6300000000001</v>
      </c>
      <c r="J159" s="34"/>
      <c r="K159" s="33"/>
      <c r="L159" s="33"/>
    </row>
    <row r="160" spans="1:12" ht="15" customHeight="1" x14ac:dyDescent="0.35">
      <c r="A160" s="53" t="s">
        <v>33</v>
      </c>
      <c r="B160" s="166" t="s">
        <v>100</v>
      </c>
      <c r="C160" s="166"/>
      <c r="D160" s="166"/>
      <c r="E160" s="166"/>
      <c r="F160" s="166"/>
      <c r="G160" s="166"/>
      <c r="H160" s="166"/>
      <c r="I160" s="75">
        <f>J86</f>
        <v>120.31494222222223</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2993.9449422222224</v>
      </c>
      <c r="J163" s="34"/>
      <c r="K163" s="33"/>
      <c r="L163" s="33"/>
    </row>
    <row r="164" spans="1:12" ht="15" customHeight="1" x14ac:dyDescent="0.35">
      <c r="A164" s="53" t="s">
        <v>39</v>
      </c>
      <c r="B164" s="149" t="s">
        <v>104</v>
      </c>
      <c r="C164" s="149"/>
      <c r="D164" s="149"/>
      <c r="E164" s="149"/>
      <c r="F164" s="149"/>
      <c r="G164" s="149"/>
      <c r="H164" s="149"/>
      <c r="I164" s="75">
        <f>I146</f>
        <v>1019.97</v>
      </c>
      <c r="J164" s="34"/>
      <c r="K164" s="33"/>
      <c r="L164" s="33"/>
    </row>
    <row r="165" spans="1:12" ht="15" customHeight="1" x14ac:dyDescent="0.35">
      <c r="A165" s="199" t="s">
        <v>105</v>
      </c>
      <c r="B165" s="199"/>
      <c r="C165" s="199"/>
      <c r="D165" s="199"/>
      <c r="E165" s="199"/>
      <c r="F165" s="199"/>
      <c r="G165" s="199"/>
      <c r="H165" s="199"/>
      <c r="I165" s="88">
        <f>SUM(I163:I164)</f>
        <v>4013.9149422222226</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8:I118"/>
    <mergeCell ref="A120:I120"/>
    <mergeCell ref="B121:H121"/>
    <mergeCell ref="B122:H122"/>
    <mergeCell ref="B123:H123"/>
    <mergeCell ref="B109:H109"/>
    <mergeCell ref="A110:H110"/>
    <mergeCell ref="A113:I113"/>
    <mergeCell ref="B114:H114"/>
    <mergeCell ref="B115:H115"/>
    <mergeCell ref="B116:H116"/>
    <mergeCell ref="A107:I107"/>
    <mergeCell ref="B108:H108"/>
    <mergeCell ref="A94:I94"/>
    <mergeCell ref="B97:H97"/>
    <mergeCell ref="B98:H98"/>
    <mergeCell ref="B99:H99"/>
    <mergeCell ref="B100:H100"/>
    <mergeCell ref="B104:H104"/>
    <mergeCell ref="A117:H117"/>
    <mergeCell ref="A87:I87"/>
    <mergeCell ref="A89:I89"/>
    <mergeCell ref="A90:I90"/>
    <mergeCell ref="A91:I91"/>
    <mergeCell ref="A92:I92"/>
    <mergeCell ref="A96:J96"/>
    <mergeCell ref="B101:H101"/>
    <mergeCell ref="B102:H102"/>
    <mergeCell ref="B103:H103"/>
    <mergeCell ref="A78:J78"/>
    <mergeCell ref="B79:H79"/>
    <mergeCell ref="B80:H80"/>
    <mergeCell ref="B81:H81"/>
    <mergeCell ref="B82:H82"/>
    <mergeCell ref="B83:H83"/>
    <mergeCell ref="B84:H84"/>
    <mergeCell ref="B85:H85"/>
    <mergeCell ref="B86:H86"/>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531F1-A6CE-404F-ABD9-655456CBEDCD}">
  <dimension ref="A1:IV167"/>
  <sheetViews>
    <sheetView topLeftCell="A116" workbookViewId="0">
      <selection activeCell="M119" sqref="M119"/>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178</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x14ac:dyDescent="0.35">
      <c r="A15" s="45" t="s">
        <v>17</v>
      </c>
      <c r="B15" s="155" t="s">
        <v>147</v>
      </c>
      <c r="C15" s="156"/>
      <c r="D15" s="156"/>
      <c r="E15" s="156"/>
      <c r="F15" s="157"/>
      <c r="G15" s="158" t="s">
        <v>181</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182</v>
      </c>
      <c r="C22" s="166"/>
      <c r="D22" s="166"/>
      <c r="E22" s="166"/>
      <c r="F22" s="166"/>
      <c r="G22" s="166"/>
      <c r="H22" s="166"/>
      <c r="I22" s="62">
        <v>2739.22</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821.77</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3560.99</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296.63</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99</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395.63</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791.32</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98.92</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118.7</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59.35</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39.57</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23.74</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7.91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1139.51</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316.52999999999997</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1456.04</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183</v>
      </c>
      <c r="C54" s="166"/>
      <c r="D54" s="166"/>
      <c r="E54" s="166"/>
      <c r="F54" s="166"/>
      <c r="G54" s="166"/>
      <c r="H54" s="166"/>
      <c r="I54" s="76">
        <f>(4.2*2*21.25)-(I22/100)*6</f>
        <v>14.146800000000013</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x14ac:dyDescent="0.35">
      <c r="A55" s="23"/>
      <c r="B55" s="172" t="s">
        <v>45</v>
      </c>
      <c r="C55" s="172"/>
      <c r="D55" s="172"/>
      <c r="E55" s="172"/>
      <c r="F55" s="172"/>
      <c r="G55" s="172"/>
      <c r="H55" s="79">
        <v>4.2</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40</v>
      </c>
      <c r="I60" s="49">
        <f>H60*H61</f>
        <v>850</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0.2</v>
      </c>
      <c r="I62" s="49">
        <f>(I60*20%)</f>
        <v>170</v>
      </c>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(I54+I60-I62)</f>
        <v>694.14679999999998</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395.63</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1456.04</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694.14679999999998</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2545.8168000000001</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6"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14.837458333333332</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1.1964926399999998</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122.49805599999999</v>
      </c>
      <c r="K82" s="114"/>
      <c r="L82" s="116"/>
    </row>
    <row r="83" spans="1:256" ht="31.75" customHeight="1" x14ac:dyDescent="0.35">
      <c r="A83" s="23" t="s">
        <v>36</v>
      </c>
      <c r="B83" s="166" t="s">
        <v>203</v>
      </c>
      <c r="C83" s="166"/>
      <c r="D83" s="166"/>
      <c r="E83" s="166"/>
      <c r="F83" s="166"/>
      <c r="G83" s="166"/>
      <c r="H83" s="166"/>
      <c r="I83" s="118">
        <f>(7/30)/12*100%</f>
        <v>1.9444444444444445E-2</v>
      </c>
      <c r="J83" s="73">
        <f>I24*I83</f>
        <v>69.241472222222214</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25.422619808</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2.2106625919999998</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235.40676159555554</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67"/>
      <c r="B87" s="67"/>
      <c r="C87" s="67"/>
      <c r="D87" s="67"/>
      <c r="E87" s="67"/>
      <c r="F87" s="67"/>
      <c r="G87" s="67"/>
      <c r="H87" s="67"/>
      <c r="I87" s="67"/>
      <c r="J87" s="34"/>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3560.99</v>
      </c>
      <c r="C93" s="27"/>
      <c r="D93" s="27" t="s">
        <v>160</v>
      </c>
      <c r="E93" s="82">
        <f>I75-I54-I59</f>
        <v>2531.67</v>
      </c>
      <c r="F93" s="26"/>
      <c r="G93" s="27" t="s">
        <v>63</v>
      </c>
      <c r="H93" s="82">
        <f>J86</f>
        <v>235.40676159555554</v>
      </c>
      <c r="I93" s="75">
        <f>B93+E93+H93</f>
        <v>6328.0667615955554</v>
      </c>
      <c r="J93" s="34"/>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s="34"/>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296.74916666666661</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49.458194444444437</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0.74187291666666655</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2.6410675833333328</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10.444526109599998</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9.8916388888888882</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369.92646660959997</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6342.2135615955558</v>
      </c>
      <c r="J132" s="34"/>
      <c r="K132" s="33"/>
      <c r="L132" s="33"/>
    </row>
    <row r="133" spans="1:256" ht="15.75" customHeight="1" x14ac:dyDescent="0.35">
      <c r="A133" s="23" t="s">
        <v>16</v>
      </c>
      <c r="B133" s="161" t="s">
        <v>6</v>
      </c>
      <c r="C133" s="161"/>
      <c r="D133" s="161"/>
      <c r="E133" s="161"/>
      <c r="F133" s="161"/>
      <c r="G133" s="161"/>
      <c r="H133" s="48">
        <v>5.21E-2</v>
      </c>
      <c r="I133" s="73">
        <f>ROUND(H133*I132,2)</f>
        <v>330.43</v>
      </c>
      <c r="J133" s="34"/>
      <c r="K133" s="33"/>
      <c r="L133" s="33"/>
    </row>
    <row r="134" spans="1:256" ht="59.25" customHeight="1" x14ac:dyDescent="0.35">
      <c r="A134" s="191" t="s">
        <v>84</v>
      </c>
      <c r="B134" s="191"/>
      <c r="C134" s="191"/>
      <c r="D134" s="191"/>
      <c r="E134" s="191"/>
      <c r="F134" s="191"/>
      <c r="G134" s="191"/>
      <c r="H134" s="51" t="s">
        <v>46</v>
      </c>
      <c r="I134" s="87">
        <f>I132+I133</f>
        <v>6672.6435615955561</v>
      </c>
      <c r="J134" s="34"/>
      <c r="K134" s="33"/>
      <c r="L134" s="33"/>
    </row>
    <row r="135" spans="1:256" ht="15.75" customHeight="1" x14ac:dyDescent="0.35">
      <c r="A135" s="23" t="s">
        <v>17</v>
      </c>
      <c r="B135" s="161" t="s">
        <v>8</v>
      </c>
      <c r="C135" s="161"/>
      <c r="D135" s="161"/>
      <c r="E135" s="161"/>
      <c r="F135" s="161"/>
      <c r="G135" s="161"/>
      <c r="H135" s="48">
        <v>9.2700000000000005E-2</v>
      </c>
      <c r="I135" s="73">
        <f>ROUND(H135*I134,2)</f>
        <v>618.54999999999995</v>
      </c>
      <c r="J135" s="34"/>
      <c r="K135" s="33"/>
      <c r="L135" s="33"/>
    </row>
    <row r="136" spans="1:256" ht="55.5" customHeight="1" x14ac:dyDescent="0.35">
      <c r="A136" s="191" t="s">
        <v>85</v>
      </c>
      <c r="B136" s="191"/>
      <c r="C136" s="191"/>
      <c r="D136" s="191"/>
      <c r="E136" s="191"/>
      <c r="F136" s="191"/>
      <c r="G136" s="191"/>
      <c r="H136" s="51" t="s">
        <v>46</v>
      </c>
      <c r="I136" s="87">
        <f>SUM(I132+I133+I135)</f>
        <v>7291.1935615955563</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646.22</v>
      </c>
      <c r="J139" s="89" t="s">
        <v>166</v>
      </c>
      <c r="K139" s="33"/>
      <c r="L139" s="33"/>
    </row>
    <row r="140" spans="1:256" x14ac:dyDescent="0.35">
      <c r="A140" s="23"/>
      <c r="B140" s="195" t="s">
        <v>88</v>
      </c>
      <c r="C140" s="195"/>
      <c r="D140" s="195"/>
      <c r="E140" s="195"/>
      <c r="F140" s="195"/>
      <c r="G140" s="195"/>
      <c r="H140" s="52">
        <v>1.6500000000000001E-2</v>
      </c>
      <c r="I140" s="73">
        <f>ROUND(($I$136/(1-$H$149))*H140,2)</f>
        <v>140.30000000000001</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425.14</v>
      </c>
      <c r="J145" s="34"/>
      <c r="K145" s="33"/>
      <c r="L145" s="33"/>
    </row>
    <row r="146" spans="1:12" ht="15.75" customHeight="1" x14ac:dyDescent="0.35">
      <c r="A146" s="164" t="s">
        <v>1</v>
      </c>
      <c r="B146" s="164"/>
      <c r="C146" s="164"/>
      <c r="D146" s="164"/>
      <c r="E146" s="164"/>
      <c r="F146" s="164"/>
      <c r="G146" s="164"/>
      <c r="H146" s="164"/>
      <c r="I146" s="74">
        <f>SUM(I133+I135+I139+I140+I145)</f>
        <v>2160.64</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1211.6599999999999</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3560.99</v>
      </c>
      <c r="J158" s="34"/>
      <c r="K158" s="33"/>
      <c r="L158" s="33"/>
    </row>
    <row r="159" spans="1:12" ht="15" customHeight="1" x14ac:dyDescent="0.35">
      <c r="A159" s="53" t="s">
        <v>17</v>
      </c>
      <c r="B159" s="166" t="s">
        <v>19</v>
      </c>
      <c r="C159" s="166"/>
      <c r="D159" s="166"/>
      <c r="E159" s="166"/>
      <c r="F159" s="166"/>
      <c r="G159" s="166"/>
      <c r="H159" s="166"/>
      <c r="I159" s="75">
        <f>I75</f>
        <v>2545.8168000000001</v>
      </c>
      <c r="J159" s="34"/>
      <c r="K159" s="33"/>
      <c r="L159" s="33"/>
    </row>
    <row r="160" spans="1:12" ht="15" customHeight="1" x14ac:dyDescent="0.35">
      <c r="A160" s="53" t="s">
        <v>33</v>
      </c>
      <c r="B160" s="166" t="s">
        <v>100</v>
      </c>
      <c r="C160" s="166"/>
      <c r="D160" s="166"/>
      <c r="E160" s="166"/>
      <c r="F160" s="166"/>
      <c r="G160" s="166"/>
      <c r="H160" s="166"/>
      <c r="I160" s="75">
        <f>J86</f>
        <v>235.40676159555554</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6342.2135615955558</v>
      </c>
      <c r="J163" s="34"/>
      <c r="K163" s="33"/>
      <c r="L163" s="33"/>
    </row>
    <row r="164" spans="1:12" ht="15" customHeight="1" x14ac:dyDescent="0.35">
      <c r="A164" s="53" t="s">
        <v>39</v>
      </c>
      <c r="B164" s="149" t="s">
        <v>104</v>
      </c>
      <c r="C164" s="149"/>
      <c r="D164" s="149"/>
      <c r="E164" s="149"/>
      <c r="F164" s="149"/>
      <c r="G164" s="149"/>
      <c r="H164" s="149"/>
      <c r="I164" s="75">
        <f>I146</f>
        <v>2160.64</v>
      </c>
      <c r="J164" s="34"/>
      <c r="K164" s="33"/>
      <c r="L164" s="33"/>
    </row>
    <row r="165" spans="1:12" ht="15" customHeight="1" x14ac:dyDescent="0.35">
      <c r="A165" s="199" t="s">
        <v>105</v>
      </c>
      <c r="B165" s="199"/>
      <c r="C165" s="199"/>
      <c r="D165" s="199"/>
      <c r="E165" s="199"/>
      <c r="F165" s="199"/>
      <c r="G165" s="199"/>
      <c r="H165" s="199"/>
      <c r="I165" s="88">
        <f>SUM(I163:I164)</f>
        <v>8502.8535615955552</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1">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301B-59FA-4D1B-BF90-966BD8E291AA}">
  <dimension ref="A1:IV167"/>
  <sheetViews>
    <sheetView topLeftCell="A150" workbookViewId="0">
      <selection activeCell="M177" sqref="M177"/>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169</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x14ac:dyDescent="0.35">
      <c r="A15" s="45" t="s">
        <v>17</v>
      </c>
      <c r="B15" s="155" t="s">
        <v>147</v>
      </c>
      <c r="C15" s="156"/>
      <c r="D15" s="156"/>
      <c r="E15" s="156"/>
      <c r="F15" s="157"/>
      <c r="G15" s="158" t="s">
        <v>185</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45292</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186</v>
      </c>
      <c r="C22" s="166"/>
      <c r="D22" s="166"/>
      <c r="E22" s="166"/>
      <c r="F22" s="166"/>
      <c r="G22" s="166"/>
      <c r="H22" s="166"/>
      <c r="I22" s="62">
        <v>1515.83</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454.75</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1970.58</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164.15</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54.78</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218.93</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437.9</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54.74</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65.69</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32.840000000000003</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21.9</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13.14</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4.38</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630.58999999999992</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175.16</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805.74999999999989</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183</v>
      </c>
      <c r="C54" s="166"/>
      <c r="D54" s="166"/>
      <c r="E54" s="166"/>
      <c r="F54" s="166"/>
      <c r="G54" s="166"/>
      <c r="H54" s="166"/>
      <c r="I54" s="93">
        <f>(3.25*2*21.25)-(I22/100)*6</f>
        <v>47.175200000000004</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x14ac:dyDescent="0.35">
      <c r="A55" s="23"/>
      <c r="B55" s="172" t="s">
        <v>45</v>
      </c>
      <c r="C55" s="172"/>
      <c r="D55" s="172"/>
      <c r="E55" s="172"/>
      <c r="F55" s="172"/>
      <c r="G55" s="172"/>
      <c r="H55" s="79">
        <v>3.25</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0</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47.175200000000004</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218.93</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805.74999999999989</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47.175200000000004</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1071.8551999999997</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6"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8.2107499999999991</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0.66211487999999996</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67.787952000000004</v>
      </c>
      <c r="K82" s="114"/>
      <c r="L82" s="116"/>
    </row>
    <row r="83" spans="1:256" ht="31.75" customHeight="1" x14ac:dyDescent="0.35">
      <c r="A83" s="23" t="s">
        <v>36</v>
      </c>
      <c r="B83" s="166" t="s">
        <v>203</v>
      </c>
      <c r="C83" s="166"/>
      <c r="D83" s="166"/>
      <c r="E83" s="166"/>
      <c r="F83" s="166"/>
      <c r="G83" s="166"/>
      <c r="H83" s="166"/>
      <c r="I83" s="118">
        <f>(7/30)/12*100%</f>
        <v>1.9444444444444445E-2</v>
      </c>
      <c r="J83" s="73">
        <f>I24*I83</f>
        <v>38.316833333333335</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14.068364735999999</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1.2233360639999999</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130.26935101333333</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1970.58</v>
      </c>
      <c r="C93" s="27"/>
      <c r="D93" s="27" t="s">
        <v>160</v>
      </c>
      <c r="E93" s="82">
        <f>I75-I54-I59</f>
        <v>1024.6799999999998</v>
      </c>
      <c r="F93" s="26"/>
      <c r="G93" s="27" t="s">
        <v>63</v>
      </c>
      <c r="H93" s="82">
        <f>J86</f>
        <v>130.26935101333333</v>
      </c>
      <c r="I93" s="75">
        <f>B93+E93+H93</f>
        <v>3125.5293510133333</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202"/>
      <c r="B94" s="202"/>
      <c r="C94" s="202"/>
      <c r="D94" s="202"/>
      <c r="E94" s="202"/>
      <c r="F94" s="202"/>
      <c r="G94" s="202"/>
      <c r="H94" s="202"/>
      <c r="I94" s="203"/>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82" t="s">
        <v>66</v>
      </c>
      <c r="C97" s="183"/>
      <c r="D97" s="183"/>
      <c r="E97" s="183"/>
      <c r="F97" s="183"/>
      <c r="G97" s="183"/>
      <c r="H97" s="18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204" t="s">
        <v>208</v>
      </c>
      <c r="C98" s="205"/>
      <c r="D98" s="205"/>
      <c r="E98" s="205"/>
      <c r="F98" s="205"/>
      <c r="G98" s="205"/>
      <c r="H98" s="206"/>
      <c r="I98" s="118">
        <f>1/12</f>
        <v>8.3333333333333329E-2</v>
      </c>
      <c r="J98" s="73">
        <f>I24*I98</f>
        <v>164.21499999999997</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78" t="s">
        <v>207</v>
      </c>
      <c r="C99" s="179"/>
      <c r="D99" s="179"/>
      <c r="E99" s="179"/>
      <c r="F99" s="179"/>
      <c r="G99" s="179"/>
      <c r="H99" s="180"/>
      <c r="I99" s="118">
        <f>(5/30/12)*100%</f>
        <v>1.3888888888888888E-2</v>
      </c>
      <c r="J99" s="73">
        <f>I24*I99</f>
        <v>27.369166666666665</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78" t="s">
        <v>206</v>
      </c>
      <c r="C100" s="179"/>
      <c r="D100" s="179"/>
      <c r="E100" s="179"/>
      <c r="F100" s="179"/>
      <c r="G100" s="179"/>
      <c r="H100" s="180"/>
      <c r="I100" s="118">
        <f>(5/30/12)*0.015*100%</f>
        <v>2.0833333333333332E-4</v>
      </c>
      <c r="J100" s="73">
        <f>I24*I100</f>
        <v>0.41053749999999994</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ht="14.5" customHeight="1" x14ac:dyDescent="0.35">
      <c r="A101" s="23" t="s">
        <v>36</v>
      </c>
      <c r="B101" s="178" t="s">
        <v>212</v>
      </c>
      <c r="C101" s="179"/>
      <c r="D101" s="179"/>
      <c r="E101" s="179"/>
      <c r="F101" s="179"/>
      <c r="G101" s="179"/>
      <c r="H101" s="180"/>
      <c r="I101" s="121">
        <f>(1/12)*0.0178*100%/2</f>
        <v>7.4166666666666662E-4</v>
      </c>
      <c r="J101" s="73">
        <f>I24*I101</f>
        <v>1.4615134999999999</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78" t="s">
        <v>211</v>
      </c>
      <c r="C102" s="179"/>
      <c r="D102" s="179"/>
      <c r="E102" s="179"/>
      <c r="F102" s="179"/>
      <c r="G102" s="179"/>
      <c r="H102" s="180"/>
      <c r="I102" s="121">
        <f>11.11%*5.28%*50%</f>
        <v>2.9330399999999996E-3</v>
      </c>
      <c r="J102" s="73">
        <f>I24*I102</f>
        <v>5.7797899631999989</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ht="14.5" customHeight="1" x14ac:dyDescent="0.35">
      <c r="A103" s="2" t="s">
        <v>39</v>
      </c>
      <c r="B103" s="178" t="s">
        <v>205</v>
      </c>
      <c r="C103" s="179"/>
      <c r="D103" s="179"/>
      <c r="E103" s="179"/>
      <c r="F103" s="179"/>
      <c r="G103" s="179"/>
      <c r="H103" s="180"/>
      <c r="I103" s="118">
        <f>(1/30/12)*100%</f>
        <v>2.7777777777777779E-3</v>
      </c>
      <c r="J103" s="73">
        <f>I24*I103</f>
        <v>5.4738333333333333</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204.70984096319998</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3172.704551013333</v>
      </c>
      <c r="J132" s="34"/>
      <c r="K132" s="33"/>
      <c r="L132" s="33"/>
    </row>
    <row r="133" spans="1:256" ht="15.75" customHeight="1" x14ac:dyDescent="0.35">
      <c r="A133" s="23" t="s">
        <v>16</v>
      </c>
      <c r="B133" s="161" t="s">
        <v>6</v>
      </c>
      <c r="C133" s="161"/>
      <c r="D133" s="161"/>
      <c r="E133" s="161"/>
      <c r="F133" s="161"/>
      <c r="G133" s="161"/>
      <c r="H133" s="48">
        <v>5.21E-2</v>
      </c>
      <c r="I133" s="73">
        <f>ROUND(H133*I132,2)</f>
        <v>165.3</v>
      </c>
      <c r="J133" s="34"/>
      <c r="K133" s="33"/>
      <c r="L133" s="33"/>
    </row>
    <row r="134" spans="1:256" ht="59.25" customHeight="1" x14ac:dyDescent="0.35">
      <c r="A134" s="191" t="s">
        <v>84</v>
      </c>
      <c r="B134" s="191"/>
      <c r="C134" s="191"/>
      <c r="D134" s="191"/>
      <c r="E134" s="191"/>
      <c r="F134" s="191"/>
      <c r="G134" s="191"/>
      <c r="H134" s="51" t="s">
        <v>46</v>
      </c>
      <c r="I134" s="87">
        <f>I132+I133</f>
        <v>3338.0045510133332</v>
      </c>
      <c r="J134" s="34"/>
      <c r="K134" s="33"/>
      <c r="L134" s="33"/>
    </row>
    <row r="135" spans="1:256" ht="15.75" customHeight="1" x14ac:dyDescent="0.35">
      <c r="A135" s="23" t="s">
        <v>17</v>
      </c>
      <c r="B135" s="161" t="s">
        <v>8</v>
      </c>
      <c r="C135" s="161"/>
      <c r="D135" s="161"/>
      <c r="E135" s="161"/>
      <c r="F135" s="161"/>
      <c r="G135" s="161"/>
      <c r="H135" s="48">
        <v>9.2700000000000005E-2</v>
      </c>
      <c r="I135" s="73">
        <f>ROUND(H135*I134,2)</f>
        <v>309.43</v>
      </c>
      <c r="J135" s="34"/>
      <c r="K135" s="33"/>
      <c r="L135" s="33"/>
    </row>
    <row r="136" spans="1:256" ht="55.5" customHeight="1" x14ac:dyDescent="0.35">
      <c r="A136" s="191" t="s">
        <v>85</v>
      </c>
      <c r="B136" s="191"/>
      <c r="C136" s="191"/>
      <c r="D136" s="191"/>
      <c r="E136" s="191"/>
      <c r="F136" s="191"/>
      <c r="G136" s="191"/>
      <c r="H136" s="51" t="s">
        <v>46</v>
      </c>
      <c r="I136" s="87">
        <f>SUM(I132+I133+I135)</f>
        <v>3647.434551013333</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323.27</v>
      </c>
      <c r="J139" s="89" t="s">
        <v>166</v>
      </c>
      <c r="K139" s="33"/>
      <c r="L139" s="33"/>
    </row>
    <row r="140" spans="1:256" x14ac:dyDescent="0.35">
      <c r="A140" s="23"/>
      <c r="B140" s="195" t="s">
        <v>88</v>
      </c>
      <c r="C140" s="195"/>
      <c r="D140" s="195"/>
      <c r="E140" s="195"/>
      <c r="F140" s="195"/>
      <c r="G140" s="195"/>
      <c r="H140" s="52">
        <v>1.6500000000000001E-2</v>
      </c>
      <c r="I140" s="73">
        <f>ROUND(($I$136/(1-$H$149))*H140,2)</f>
        <v>70.180000000000007</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212.68</v>
      </c>
      <c r="J145" s="34"/>
      <c r="K145" s="33"/>
      <c r="L145" s="33"/>
    </row>
    <row r="146" spans="1:12" ht="15.75" customHeight="1" x14ac:dyDescent="0.35">
      <c r="A146" s="164" t="s">
        <v>1</v>
      </c>
      <c r="B146" s="164"/>
      <c r="C146" s="164"/>
      <c r="D146" s="164"/>
      <c r="E146" s="164"/>
      <c r="F146" s="164"/>
      <c r="G146" s="164"/>
      <c r="H146" s="164"/>
      <c r="I146" s="74">
        <f>SUM(I133+I135+I139+I140+I145)</f>
        <v>1080.8600000000001</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606.13</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1970.58</v>
      </c>
      <c r="J158" s="34"/>
      <c r="K158" s="33"/>
      <c r="L158" s="33"/>
    </row>
    <row r="159" spans="1:12" ht="15" customHeight="1" x14ac:dyDescent="0.35">
      <c r="A159" s="53" t="s">
        <v>17</v>
      </c>
      <c r="B159" s="166" t="s">
        <v>19</v>
      </c>
      <c r="C159" s="166"/>
      <c r="D159" s="166"/>
      <c r="E159" s="166"/>
      <c r="F159" s="166"/>
      <c r="G159" s="166"/>
      <c r="H159" s="166"/>
      <c r="I159" s="75">
        <f>I75</f>
        <v>1071.8551999999997</v>
      </c>
      <c r="J159" s="34"/>
      <c r="K159" s="33"/>
      <c r="L159" s="33"/>
    </row>
    <row r="160" spans="1:12" ht="15" customHeight="1" x14ac:dyDescent="0.35">
      <c r="A160" s="53" t="s">
        <v>33</v>
      </c>
      <c r="B160" s="166" t="s">
        <v>100</v>
      </c>
      <c r="C160" s="166"/>
      <c r="D160" s="166"/>
      <c r="E160" s="166"/>
      <c r="F160" s="166"/>
      <c r="G160" s="166"/>
      <c r="H160" s="166"/>
      <c r="I160" s="75">
        <f>J86</f>
        <v>130.26935101333333</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3172.704551013333</v>
      </c>
      <c r="J163" s="34"/>
      <c r="K163" s="33"/>
      <c r="L163" s="33"/>
    </row>
    <row r="164" spans="1:12" ht="15" customHeight="1" x14ac:dyDescent="0.35">
      <c r="A164" s="53" t="s">
        <v>39</v>
      </c>
      <c r="B164" s="149" t="s">
        <v>104</v>
      </c>
      <c r="C164" s="149"/>
      <c r="D164" s="149"/>
      <c r="E164" s="149"/>
      <c r="F164" s="149"/>
      <c r="G164" s="149"/>
      <c r="H164" s="149"/>
      <c r="I164" s="75">
        <f>I146</f>
        <v>1080.8600000000001</v>
      </c>
      <c r="J164" s="34"/>
      <c r="K164" s="33"/>
      <c r="L164" s="33"/>
    </row>
    <row r="165" spans="1:12" ht="15" customHeight="1" x14ac:dyDescent="0.35">
      <c r="A165" s="199" t="s">
        <v>105</v>
      </c>
      <c r="B165" s="199"/>
      <c r="C165" s="199"/>
      <c r="D165" s="199"/>
      <c r="E165" s="199"/>
      <c r="F165" s="199"/>
      <c r="G165" s="199"/>
      <c r="H165" s="199"/>
      <c r="I165" s="88">
        <f>SUM(I163:I164)</f>
        <v>4253.5645510133327</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325A7-2549-408F-A009-8B286AF27F11}">
  <dimension ref="A1:IV167"/>
  <sheetViews>
    <sheetView topLeftCell="A122" workbookViewId="0">
      <selection activeCell="R112" sqref="R112"/>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4.54296875" style="37" customWidth="1"/>
    <col min="11" max="11" width="11.26953125" style="37" bestFit="1" customWidth="1"/>
    <col min="12" max="12" width="10.36328125" style="37" bestFit="1" customWidth="1"/>
    <col min="13" max="13" width="9.26953125" style="37" customWidth="1"/>
    <col min="14" max="255" width="9.1796875" style="37" customWidth="1"/>
    <col min="256" max="16384" width="8.7265625" style="33"/>
  </cols>
  <sheetData>
    <row r="1" spans="1:255" ht="50.25" customHeight="1" x14ac:dyDescent="0.35">
      <c r="A1" s="32"/>
      <c r="B1" s="33"/>
      <c r="C1" s="32"/>
      <c r="D1" s="32"/>
      <c r="E1" s="33"/>
      <c r="F1" s="33"/>
      <c r="G1" s="33"/>
    </row>
    <row r="2" spans="1:255" x14ac:dyDescent="0.35">
      <c r="A2" s="32"/>
      <c r="B2" s="32"/>
      <c r="C2" s="32"/>
      <c r="D2" s="32"/>
      <c r="E2" s="33"/>
      <c r="F2" s="33"/>
      <c r="G2" s="33"/>
    </row>
    <row r="3" spans="1:255" x14ac:dyDescent="0.35">
      <c r="A3" s="133" t="s">
        <v>0</v>
      </c>
      <c r="B3" s="133"/>
      <c r="C3" s="133"/>
      <c r="D3" s="133"/>
      <c r="E3" s="133"/>
      <c r="F3" s="133"/>
      <c r="G3" s="133"/>
      <c r="H3" s="133"/>
      <c r="I3" s="133"/>
    </row>
    <row r="4" spans="1:255" x14ac:dyDescent="0.35">
      <c r="A4" s="134" t="s">
        <v>10</v>
      </c>
      <c r="B4" s="134"/>
      <c r="C4" s="134"/>
      <c r="D4" s="134"/>
      <c r="E4" s="134"/>
      <c r="F4" s="134"/>
      <c r="G4" s="134"/>
      <c r="H4" s="134"/>
      <c r="I4" s="134"/>
    </row>
    <row r="5" spans="1:255" x14ac:dyDescent="0.35">
      <c r="A5" s="135" t="s">
        <v>11</v>
      </c>
      <c r="B5" s="135"/>
      <c r="C5" s="135"/>
      <c r="D5" s="135"/>
      <c r="E5" s="135"/>
      <c r="F5" s="135"/>
      <c r="G5" s="135"/>
      <c r="H5" s="135"/>
      <c r="I5" s="135"/>
      <c r="J5" s="39"/>
    </row>
    <row r="6" spans="1:255" ht="14.5" customHeight="1" x14ac:dyDescent="0.35">
      <c r="A6" s="136" t="s">
        <v>170</v>
      </c>
      <c r="B6" s="136"/>
      <c r="C6" s="136"/>
      <c r="D6" s="136"/>
      <c r="E6" s="136"/>
      <c r="F6" s="136"/>
      <c r="G6" s="136"/>
      <c r="H6" s="136"/>
      <c r="I6" s="136"/>
      <c r="J6" s="39"/>
    </row>
    <row r="7" spans="1:255" x14ac:dyDescent="0.35">
      <c r="A7" s="40"/>
      <c r="B7" s="40"/>
      <c r="C7" s="40"/>
      <c r="D7" s="40"/>
      <c r="E7" s="40"/>
      <c r="F7" s="40"/>
      <c r="G7" s="40"/>
      <c r="H7" s="41"/>
      <c r="I7" s="42"/>
    </row>
    <row r="8" spans="1:255"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row>
    <row r="9" spans="1:255"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row>
    <row r="10" spans="1:255"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row>
    <row r="11" spans="1:255"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row>
    <row r="12" spans="1:255"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row>
    <row r="13" spans="1:255" customFormat="1" ht="13" customHeight="1" x14ac:dyDescent="0.35">
      <c r="A13" s="151" t="s">
        <v>144</v>
      </c>
      <c r="B13" s="151"/>
      <c r="C13" s="151"/>
      <c r="D13" s="151"/>
      <c r="E13" s="151"/>
      <c r="F13" s="151"/>
      <c r="G13" s="151"/>
      <c r="H13" s="151"/>
      <c r="I13" s="151"/>
    </row>
    <row r="14" spans="1:255" customFormat="1" ht="14.5" customHeight="1" x14ac:dyDescent="0.35">
      <c r="A14" s="45" t="s">
        <v>16</v>
      </c>
      <c r="B14" s="139" t="s">
        <v>145</v>
      </c>
      <c r="C14" s="140"/>
      <c r="D14" s="140"/>
      <c r="E14" s="140"/>
      <c r="F14" s="141"/>
      <c r="G14" s="152" t="s">
        <v>146</v>
      </c>
      <c r="H14" s="153"/>
      <c r="I14" s="154"/>
    </row>
    <row r="15" spans="1:255" customFormat="1" x14ac:dyDescent="0.35">
      <c r="A15" s="45" t="s">
        <v>17</v>
      </c>
      <c r="B15" s="155" t="s">
        <v>147</v>
      </c>
      <c r="C15" s="156"/>
      <c r="D15" s="156"/>
      <c r="E15" s="156"/>
      <c r="F15" s="157"/>
      <c r="G15" s="158" t="s">
        <v>187</v>
      </c>
      <c r="H15" s="159"/>
      <c r="I15" s="160"/>
    </row>
    <row r="16" spans="1:255" customFormat="1" ht="14.5" customHeight="1" x14ac:dyDescent="0.35">
      <c r="A16" s="45" t="s">
        <v>33</v>
      </c>
      <c r="B16" s="139" t="s">
        <v>149</v>
      </c>
      <c r="C16" s="140"/>
      <c r="D16" s="140"/>
      <c r="E16" s="140"/>
      <c r="F16" s="141"/>
      <c r="G16" s="142">
        <v>24</v>
      </c>
      <c r="H16" s="143"/>
      <c r="I16" s="144"/>
    </row>
    <row r="17" spans="1:255" customFormat="1" ht="15" customHeight="1" x14ac:dyDescent="0.35">
      <c r="A17" s="45" t="s">
        <v>36</v>
      </c>
      <c r="B17" s="145" t="s">
        <v>150</v>
      </c>
      <c r="C17" s="145"/>
      <c r="D17" s="145"/>
      <c r="E17" s="145"/>
      <c r="F17" s="145"/>
      <c r="G17" s="146">
        <v>45413</v>
      </c>
      <c r="H17" s="147"/>
      <c r="I17" s="148"/>
    </row>
    <row r="18" spans="1:255" x14ac:dyDescent="0.35">
      <c r="A18"/>
      <c r="B18"/>
      <c r="C18"/>
      <c r="D18"/>
      <c r="E18"/>
      <c r="F18"/>
      <c r="G18"/>
      <c r="H18" s="43"/>
      <c r="I18" s="44"/>
      <c r="J18" s="39"/>
    </row>
    <row r="19" spans="1:255" x14ac:dyDescent="0.35">
      <c r="A19"/>
      <c r="B19"/>
      <c r="C19"/>
      <c r="D19"/>
      <c r="E19"/>
      <c r="F19"/>
      <c r="G19"/>
      <c r="H19" s="43"/>
      <c r="I19" s="44"/>
      <c r="J19" s="39"/>
    </row>
    <row r="20" spans="1:255"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s="47" customFormat="1" ht="30" customHeight="1" x14ac:dyDescent="0.35">
      <c r="A21" s="22">
        <v>1</v>
      </c>
      <c r="B21" s="150" t="s">
        <v>13</v>
      </c>
      <c r="C21" s="150"/>
      <c r="D21" s="150"/>
      <c r="E21" s="150"/>
      <c r="F21" s="150"/>
      <c r="G21" s="150"/>
      <c r="H21" s="22" t="s">
        <v>14</v>
      </c>
      <c r="I21" s="22" t="s">
        <v>15</v>
      </c>
      <c r="J21" s="46"/>
      <c r="K21" s="37"/>
      <c r="N21" s="37"/>
      <c r="O21" s="37"/>
    </row>
    <row r="22" spans="1:255" x14ac:dyDescent="0.35">
      <c r="A22" s="24" t="s">
        <v>16</v>
      </c>
      <c r="B22" s="166" t="s">
        <v>188</v>
      </c>
      <c r="C22" s="166"/>
      <c r="D22" s="166"/>
      <c r="E22" s="166"/>
      <c r="F22" s="166"/>
      <c r="G22" s="166"/>
      <c r="H22" s="166"/>
      <c r="I22" s="62">
        <v>3042.6</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row>
    <row r="23" spans="1:255" ht="15.75" customHeight="1" x14ac:dyDescent="0.35">
      <c r="A23" s="24" t="s">
        <v>17</v>
      </c>
      <c r="B23" s="162" t="s">
        <v>154</v>
      </c>
      <c r="C23" s="162"/>
      <c r="D23" s="162"/>
      <c r="E23" s="162"/>
      <c r="F23" s="162"/>
      <c r="G23" s="162"/>
      <c r="H23" s="90">
        <v>0.3</v>
      </c>
      <c r="I23" s="73">
        <f>ROUND(H23*I22,2)</f>
        <v>912.78</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row>
    <row r="24" spans="1:255" ht="15.75" customHeight="1" x14ac:dyDescent="0.35">
      <c r="A24" s="150" t="s">
        <v>1</v>
      </c>
      <c r="B24" s="150"/>
      <c r="C24" s="150"/>
      <c r="D24" s="150"/>
      <c r="E24" s="150"/>
      <c r="F24" s="150"/>
      <c r="G24" s="150"/>
      <c r="H24" s="150"/>
      <c r="I24" s="74">
        <f>SUM(I22:I23)</f>
        <v>3955.38</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row>
    <row r="25" spans="1:255"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row>
    <row r="26" spans="1:255"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row>
    <row r="27" spans="1:255"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row>
    <row r="28" spans="1:255"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row>
    <row r="29" spans="1:255"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row>
    <row r="30" spans="1:255"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ht="26.15" customHeight="1" x14ac:dyDescent="0.35">
      <c r="A31" s="23" t="s">
        <v>16</v>
      </c>
      <c r="B31" s="162" t="s">
        <v>24</v>
      </c>
      <c r="C31" s="162"/>
      <c r="D31" s="162"/>
      <c r="E31" s="162"/>
      <c r="F31" s="162"/>
      <c r="G31" s="162"/>
      <c r="H31" s="48">
        <v>8.3299999999999999E-2</v>
      </c>
      <c r="I31" s="75">
        <f>ROUND($I$24*H31,2)</f>
        <v>329.48</v>
      </c>
      <c r="J31" s="9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ht="29.25" customHeight="1" x14ac:dyDescent="0.35">
      <c r="A32" s="23" t="s">
        <v>17</v>
      </c>
      <c r="B32" s="163" t="s">
        <v>25</v>
      </c>
      <c r="C32" s="163"/>
      <c r="D32" s="163"/>
      <c r="E32" s="163"/>
      <c r="F32" s="163"/>
      <c r="G32" s="163"/>
      <c r="H32" s="48">
        <v>2.7799999999999998E-2</v>
      </c>
      <c r="I32" s="75">
        <f>ROUND($I$24*H32,2)</f>
        <v>109.96</v>
      </c>
      <c r="J32" s="9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x14ac:dyDescent="0.35">
      <c r="A33" s="164" t="s">
        <v>1</v>
      </c>
      <c r="B33" s="164"/>
      <c r="C33" s="164"/>
      <c r="D33" s="164"/>
      <c r="E33" s="164"/>
      <c r="F33" s="164"/>
      <c r="G33" s="164"/>
      <c r="H33" s="164"/>
      <c r="I33" s="74">
        <f>SUM(I31+I32)</f>
        <v>439.44</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row>
    <row r="34" spans="1:255"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7" customFormat="1" ht="32.25" customHeight="1" x14ac:dyDescent="0.35">
      <c r="A37" s="149" t="s">
        <v>158</v>
      </c>
      <c r="B37" s="149"/>
      <c r="C37" s="149"/>
      <c r="D37" s="149"/>
      <c r="E37" s="149"/>
      <c r="F37" s="149"/>
      <c r="G37" s="149"/>
      <c r="H37" s="149"/>
      <c r="I37" s="149"/>
      <c r="J37" s="39"/>
    </row>
    <row r="38" spans="1:255"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ht="15.75" customHeight="1" x14ac:dyDescent="0.35">
      <c r="A39" s="23" t="s">
        <v>16</v>
      </c>
      <c r="B39" s="166" t="s">
        <v>31</v>
      </c>
      <c r="C39" s="166"/>
      <c r="D39" s="166"/>
      <c r="E39" s="166"/>
      <c r="F39" s="166"/>
      <c r="G39" s="166"/>
      <c r="H39" s="48">
        <v>0.2</v>
      </c>
      <c r="I39" s="73">
        <f t="shared" ref="I39:I47" si="0">ROUND(($I$24+$I$33)*H39,2)</f>
        <v>878.96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ht="15.75" customHeight="1" x14ac:dyDescent="0.35">
      <c r="A40" s="23" t="s">
        <v>17</v>
      </c>
      <c r="B40" s="166" t="s">
        <v>32</v>
      </c>
      <c r="C40" s="166"/>
      <c r="D40" s="166"/>
      <c r="E40" s="166"/>
      <c r="F40" s="166"/>
      <c r="G40" s="166"/>
      <c r="H40" s="48">
        <v>2.5000000000000001E-2</v>
      </c>
      <c r="I40" s="73">
        <f t="shared" si="0"/>
        <v>109.87</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ht="49.15" customHeight="1" x14ac:dyDescent="0.35">
      <c r="A41" s="23" t="s">
        <v>33</v>
      </c>
      <c r="B41" s="168" t="s">
        <v>155</v>
      </c>
      <c r="C41" s="168"/>
      <c r="D41" s="24" t="s">
        <v>34</v>
      </c>
      <c r="E41" s="65">
        <v>0.03</v>
      </c>
      <c r="F41" s="24" t="s">
        <v>35</v>
      </c>
      <c r="G41" s="66">
        <v>1</v>
      </c>
      <c r="H41" s="48">
        <f>ROUND((E41*G41),6)</f>
        <v>0.03</v>
      </c>
      <c r="I41" s="73">
        <f t="shared" si="0"/>
        <v>131.84</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ht="15.75" customHeight="1" x14ac:dyDescent="0.35">
      <c r="A42" s="23" t="s">
        <v>36</v>
      </c>
      <c r="B42" s="166" t="s">
        <v>37</v>
      </c>
      <c r="C42" s="166"/>
      <c r="D42" s="166"/>
      <c r="E42" s="166"/>
      <c r="F42" s="166"/>
      <c r="G42" s="166"/>
      <c r="H42" s="48">
        <v>1.4999999999999999E-2</v>
      </c>
      <c r="I42" s="73">
        <f t="shared" si="0"/>
        <v>65.92</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ht="15.75" customHeight="1" x14ac:dyDescent="0.35">
      <c r="A43" s="23" t="s">
        <v>9</v>
      </c>
      <c r="B43" s="166" t="s">
        <v>38</v>
      </c>
      <c r="C43" s="166"/>
      <c r="D43" s="166"/>
      <c r="E43" s="166"/>
      <c r="F43" s="166"/>
      <c r="G43" s="166"/>
      <c r="H43" s="48">
        <v>0.01</v>
      </c>
      <c r="I43" s="73">
        <f t="shared" si="0"/>
        <v>43.95</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ht="15.75" customHeight="1" x14ac:dyDescent="0.35">
      <c r="A44" s="23" t="s">
        <v>39</v>
      </c>
      <c r="B44" s="166" t="s">
        <v>2</v>
      </c>
      <c r="C44" s="166"/>
      <c r="D44" s="166"/>
      <c r="E44" s="166"/>
      <c r="F44" s="166"/>
      <c r="G44" s="166"/>
      <c r="H44" s="48">
        <v>6.0000000000000001E-3</v>
      </c>
      <c r="I44" s="73">
        <f t="shared" si="0"/>
        <v>26.37</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ht="20.5" customHeight="1" x14ac:dyDescent="0.35">
      <c r="A45" s="23" t="s">
        <v>40</v>
      </c>
      <c r="B45" s="166" t="s">
        <v>3</v>
      </c>
      <c r="C45" s="166"/>
      <c r="D45" s="166"/>
      <c r="E45" s="166"/>
      <c r="F45" s="166"/>
      <c r="G45" s="166"/>
      <c r="H45" s="48">
        <v>2E-3</v>
      </c>
      <c r="I45" s="73">
        <f t="shared" si="0"/>
        <v>8.7899999999999991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ht="20.5" customHeight="1" x14ac:dyDescent="0.35">
      <c r="A46" s="169"/>
      <c r="B46" s="170"/>
      <c r="C46" s="170"/>
      <c r="D46" s="170"/>
      <c r="E46" s="170"/>
      <c r="F46" s="170"/>
      <c r="G46" s="171"/>
      <c r="H46" s="107">
        <f>SUM(H39:H45)</f>
        <v>0.28800000000000003</v>
      </c>
      <c r="I46" s="62">
        <f>SUM(I39:I45)</f>
        <v>1265.7</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ht="15.75" customHeight="1" x14ac:dyDescent="0.35">
      <c r="A47" s="23" t="s">
        <v>41</v>
      </c>
      <c r="B47" s="166" t="s">
        <v>4</v>
      </c>
      <c r="C47" s="166"/>
      <c r="D47" s="166"/>
      <c r="E47" s="166"/>
      <c r="F47" s="166"/>
      <c r="G47" s="166"/>
      <c r="H47" s="48">
        <v>0.08</v>
      </c>
      <c r="I47" s="73">
        <f t="shared" si="0"/>
        <v>351.59</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ht="15.75" customHeight="1" x14ac:dyDescent="0.35">
      <c r="A48" s="164" t="s">
        <v>1</v>
      </c>
      <c r="B48" s="164"/>
      <c r="C48" s="164"/>
      <c r="D48" s="164"/>
      <c r="E48" s="164"/>
      <c r="F48" s="164"/>
      <c r="G48" s="164"/>
      <c r="H48" s="115">
        <f>H46+H47</f>
        <v>0.36800000000000005</v>
      </c>
      <c r="I48" s="74">
        <f>I46+I47</f>
        <v>1617.29</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21" customFormat="1" ht="14.5" customHeight="1" x14ac:dyDescent="0.35">
      <c r="A50" s="68"/>
      <c r="B50" s="68"/>
      <c r="C50" s="68"/>
      <c r="D50" s="68"/>
      <c r="E50" s="68"/>
      <c r="F50" s="68"/>
      <c r="G50" s="68"/>
      <c r="H50" s="68"/>
      <c r="I50" s="68"/>
      <c r="J50" s="36"/>
    </row>
    <row r="51" spans="1:255" s="21" customFormat="1" ht="13" customHeight="1" x14ac:dyDescent="0.35">
      <c r="A51" s="68"/>
      <c r="B51" s="68"/>
      <c r="C51" s="68"/>
      <c r="D51" s="68"/>
      <c r="E51" s="68"/>
      <c r="F51" s="68"/>
      <c r="G51" s="68"/>
      <c r="H51" s="68"/>
      <c r="I51" s="68"/>
      <c r="J51" s="36"/>
    </row>
    <row r="52" spans="1:255"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ht="15.75" customHeight="1" x14ac:dyDescent="0.35">
      <c r="A54" s="23" t="s">
        <v>16</v>
      </c>
      <c r="B54" s="166" t="s">
        <v>157</v>
      </c>
      <c r="C54" s="166"/>
      <c r="D54" s="166"/>
      <c r="E54" s="166"/>
      <c r="F54" s="166"/>
      <c r="G54" s="166"/>
      <c r="H54" s="166"/>
      <c r="I54" s="92">
        <v>0</v>
      </c>
      <c r="J54" s="91"/>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x14ac:dyDescent="0.35">
      <c r="A55" s="23"/>
      <c r="B55" s="172" t="s">
        <v>45</v>
      </c>
      <c r="C55" s="172"/>
      <c r="D55" s="172"/>
      <c r="E55" s="172"/>
      <c r="F55" s="172"/>
      <c r="G55" s="172"/>
      <c r="H55" s="79">
        <v>3.25</v>
      </c>
      <c r="I55" s="49"/>
      <c r="J55" s="9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ht="15.75" customHeight="1" x14ac:dyDescent="0.35">
      <c r="A59" s="23" t="s">
        <v>17</v>
      </c>
      <c r="B59" s="166" t="s">
        <v>156</v>
      </c>
      <c r="C59" s="166"/>
      <c r="D59" s="166"/>
      <c r="E59" s="166"/>
      <c r="F59" s="166"/>
      <c r="G59" s="166"/>
      <c r="H59" s="166"/>
      <c r="I59" s="49">
        <f>H60*99%</f>
        <v>281.65499999999997</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ht="33" customHeight="1" x14ac:dyDescent="0.35">
      <c r="A60" s="23"/>
      <c r="B60" s="172" t="s">
        <v>195</v>
      </c>
      <c r="C60" s="172"/>
      <c r="D60" s="172"/>
      <c r="E60" s="172"/>
      <c r="F60" s="172"/>
      <c r="G60" s="172"/>
      <c r="H60" s="79">
        <v>284.5</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ht="15.75" customHeight="1" x14ac:dyDescent="0.35">
      <c r="A62" s="50"/>
      <c r="B62" s="172" t="s">
        <v>51</v>
      </c>
      <c r="C62" s="172"/>
      <c r="D62" s="172"/>
      <c r="E62" s="172"/>
      <c r="F62" s="172"/>
      <c r="G62" s="172"/>
      <c r="H62" s="51">
        <v>0.01</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ht="15.75" customHeight="1" x14ac:dyDescent="0.35">
      <c r="A66" s="35"/>
      <c r="B66" s="164" t="s">
        <v>1</v>
      </c>
      <c r="C66" s="164"/>
      <c r="D66" s="164"/>
      <c r="E66" s="164"/>
      <c r="F66" s="164"/>
      <c r="G66" s="164"/>
      <c r="H66" s="164"/>
      <c r="I66" s="30">
        <f>SUM(I54:I65)</f>
        <v>281.65499999999997</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x14ac:dyDescent="0.35">
      <c r="A72" s="24" t="s">
        <v>21</v>
      </c>
      <c r="B72" s="166" t="s">
        <v>56</v>
      </c>
      <c r="C72" s="166"/>
      <c r="D72" s="166"/>
      <c r="E72" s="166"/>
      <c r="F72" s="166"/>
      <c r="G72" s="166"/>
      <c r="H72" s="166"/>
      <c r="I72" s="75">
        <f>I33</f>
        <v>439.44</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x14ac:dyDescent="0.35">
      <c r="A73" s="24" t="s">
        <v>27</v>
      </c>
      <c r="B73" s="166" t="s">
        <v>28</v>
      </c>
      <c r="C73" s="166"/>
      <c r="D73" s="166"/>
      <c r="E73" s="166"/>
      <c r="F73" s="166"/>
      <c r="G73" s="166"/>
      <c r="H73" s="166"/>
      <c r="I73" s="75">
        <f>I48</f>
        <v>1617.29</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x14ac:dyDescent="0.35">
      <c r="A74" s="24" t="s">
        <v>43</v>
      </c>
      <c r="B74" s="166" t="s">
        <v>44</v>
      </c>
      <c r="C74" s="166"/>
      <c r="D74" s="166"/>
      <c r="E74" s="166"/>
      <c r="F74" s="166"/>
      <c r="G74" s="166"/>
      <c r="H74" s="166"/>
      <c r="I74" s="75">
        <f>I66</f>
        <v>281.65499999999997</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x14ac:dyDescent="0.35">
      <c r="A75" s="150" t="s">
        <v>1</v>
      </c>
      <c r="B75" s="150"/>
      <c r="C75" s="150"/>
      <c r="D75" s="150"/>
      <c r="E75" s="150"/>
      <c r="F75" s="150"/>
      <c r="G75" s="150"/>
      <c r="H75" s="150"/>
      <c r="I75" s="80">
        <f>SUM(I72+I73+I74)</f>
        <v>2338.3850000000002</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ht="15"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7" customFormat="1" x14ac:dyDescent="0.35">
      <c r="A78" s="161" t="s">
        <v>57</v>
      </c>
      <c r="B78" s="161"/>
      <c r="C78" s="161"/>
      <c r="D78" s="161"/>
      <c r="E78" s="161"/>
      <c r="F78" s="161"/>
      <c r="G78" s="161"/>
      <c r="H78" s="161"/>
      <c r="I78" s="161"/>
      <c r="J78" s="161"/>
      <c r="K78" s="39"/>
    </row>
    <row r="79" spans="1:255"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x14ac:dyDescent="0.35">
      <c r="A80" s="23" t="s">
        <v>16</v>
      </c>
      <c r="B80" s="166" t="s">
        <v>209</v>
      </c>
      <c r="C80" s="166"/>
      <c r="D80" s="166"/>
      <c r="E80" s="166"/>
      <c r="F80" s="166"/>
      <c r="G80" s="166"/>
      <c r="H80" s="166"/>
      <c r="I80" s="52">
        <f>(1/12*0.05*100%)</f>
        <v>4.1666666666666666E-3</v>
      </c>
      <c r="J80" s="73">
        <f>I24*I80</f>
        <v>16.48075</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x14ac:dyDescent="0.35">
      <c r="A81" s="23" t="s">
        <v>17</v>
      </c>
      <c r="B81" s="178" t="s">
        <v>199</v>
      </c>
      <c r="C81" s="179"/>
      <c r="D81" s="179"/>
      <c r="E81" s="179"/>
      <c r="F81" s="179"/>
      <c r="G81" s="179"/>
      <c r="H81" s="180"/>
      <c r="I81" s="109">
        <f>(8%*0.42%)</f>
        <v>3.3599999999999998E-4</v>
      </c>
      <c r="J81" s="73">
        <f>I24*I81</f>
        <v>1.3290076799999999</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112" customFormat="1" ht="28" customHeight="1" x14ac:dyDescent="0.3">
      <c r="A82" s="129" t="s">
        <v>33</v>
      </c>
      <c r="B82" s="181" t="s">
        <v>200</v>
      </c>
      <c r="C82" s="181"/>
      <c r="D82" s="181"/>
      <c r="E82" s="181"/>
      <c r="F82" s="181"/>
      <c r="G82" s="181"/>
      <c r="H82" s="181"/>
      <c r="I82" s="113">
        <f>(((1+2/12+(1/3*1/12))*(0.08*0.4*0.9*100%)))</f>
        <v>3.44E-2</v>
      </c>
      <c r="J82" s="73">
        <f>I24*I82</f>
        <v>136.06507200000001</v>
      </c>
      <c r="K82" s="114"/>
      <c r="L82" s="116"/>
    </row>
    <row r="83" spans="1:255" ht="31.75" customHeight="1" x14ac:dyDescent="0.35">
      <c r="A83" s="23" t="s">
        <v>36</v>
      </c>
      <c r="B83" s="166" t="s">
        <v>203</v>
      </c>
      <c r="C83" s="166"/>
      <c r="D83" s="166"/>
      <c r="E83" s="166"/>
      <c r="F83" s="166"/>
      <c r="G83" s="166"/>
      <c r="H83" s="166"/>
      <c r="I83" s="118">
        <f>(7/30)/12*100%</f>
        <v>1.9444444444444445E-2</v>
      </c>
      <c r="J83" s="73">
        <f>I24*I83</f>
        <v>76.910166666666669</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ht="15.75" customHeight="1" x14ac:dyDescent="0.35">
      <c r="A84" s="23" t="s">
        <v>9</v>
      </c>
      <c r="B84" s="175" t="s">
        <v>201</v>
      </c>
      <c r="C84" s="175"/>
      <c r="D84" s="175"/>
      <c r="E84" s="175"/>
      <c r="F84" s="175"/>
      <c r="G84" s="175"/>
      <c r="H84" s="175"/>
      <c r="I84" s="48">
        <f>36.8%*1.94%</f>
        <v>7.1392000000000001E-3</v>
      </c>
      <c r="J84" s="73">
        <f>I24*I84</f>
        <v>28.238248896000002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ht="30.5" customHeight="1" x14ac:dyDescent="0.35">
      <c r="A85" s="23" t="s">
        <v>39</v>
      </c>
      <c r="B85" s="178" t="s">
        <v>210</v>
      </c>
      <c r="C85" s="179"/>
      <c r="D85" s="179"/>
      <c r="E85" s="179"/>
      <c r="F85" s="179"/>
      <c r="G85" s="179"/>
      <c r="H85" s="180"/>
      <c r="I85" s="117">
        <f>0.08*0.0194*0.4*100%</f>
        <v>6.2080000000000002E-4</v>
      </c>
      <c r="J85" s="73">
        <f>I24*I85</f>
        <v>2.4554999040000003</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ht="15.75" customHeight="1" x14ac:dyDescent="0.35">
      <c r="A86" s="124"/>
      <c r="B86" s="182" t="s">
        <v>213</v>
      </c>
      <c r="C86" s="183"/>
      <c r="D86" s="183"/>
      <c r="E86" s="183"/>
      <c r="F86" s="183"/>
      <c r="G86" s="183"/>
      <c r="H86" s="184"/>
      <c r="I86" s="115">
        <f>SUM(I80:I85)</f>
        <v>6.6107111111111116E-2</v>
      </c>
      <c r="J86" s="74">
        <f>SUM(J80:J85)</f>
        <v>261.47874514666671</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ht="16" customHeight="1" x14ac:dyDescent="0.35">
      <c r="A87" s="185"/>
      <c r="B87" s="185"/>
      <c r="C87" s="185"/>
      <c r="D87" s="185"/>
      <c r="E87" s="185"/>
      <c r="F87" s="185"/>
      <c r="G87" s="185"/>
      <c r="H87" s="185"/>
      <c r="I87" s="185"/>
      <c r="J87" s="33"/>
      <c r="K87" s="33"/>
      <c r="L87" s="111"/>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101" customFormat="1" ht="41.25" customHeight="1" x14ac:dyDescent="0.35">
      <c r="A93" s="27" t="s">
        <v>62</v>
      </c>
      <c r="B93" s="82">
        <f>I24</f>
        <v>3955.38</v>
      </c>
      <c r="C93" s="27"/>
      <c r="D93" s="27" t="s">
        <v>160</v>
      </c>
      <c r="E93" s="82">
        <f>I75-I54-I59</f>
        <v>2056.7300000000005</v>
      </c>
      <c r="F93" s="26"/>
      <c r="G93" s="27" t="s">
        <v>63</v>
      </c>
      <c r="H93" s="82">
        <f>J86</f>
        <v>261.47874514666671</v>
      </c>
      <c r="I93" s="75">
        <f>B93+E93+H93</f>
        <v>6273.588745146667</v>
      </c>
      <c r="J93" s="100"/>
    </row>
    <row r="94" spans="1:255" customFormat="1" ht="17.5" customHeight="1" x14ac:dyDescent="0.35">
      <c r="A94" s="188"/>
      <c r="B94" s="188"/>
      <c r="C94" s="188"/>
      <c r="D94" s="188"/>
      <c r="E94" s="188"/>
      <c r="F94" s="188"/>
      <c r="G94" s="188"/>
      <c r="H94" s="188"/>
      <c r="I94" s="188"/>
    </row>
    <row r="95" spans="1:255" customFormat="1" ht="17.5" customHeight="1" x14ac:dyDescent="0.35">
      <c r="A95" s="125"/>
      <c r="B95" s="125"/>
      <c r="C95" s="125"/>
      <c r="D95" s="125"/>
      <c r="E95" s="125"/>
      <c r="F95" s="125"/>
      <c r="G95" s="125"/>
      <c r="H95" s="125"/>
      <c r="I95" s="125"/>
    </row>
    <row r="96" spans="1:255" s="103" customFormat="1" ht="19" customHeight="1" x14ac:dyDescent="0.35">
      <c r="A96" s="149" t="s">
        <v>64</v>
      </c>
      <c r="B96" s="149"/>
      <c r="C96" s="149"/>
      <c r="D96" s="149"/>
      <c r="E96" s="149"/>
      <c r="F96" s="149"/>
      <c r="G96" s="149"/>
      <c r="H96" s="149"/>
      <c r="I96" s="149"/>
      <c r="J96" s="149"/>
      <c r="K96" s="102"/>
    </row>
    <row r="97" spans="1:255"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ht="16.5" customHeight="1" x14ac:dyDescent="0.35">
      <c r="A98" s="23" t="s">
        <v>16</v>
      </c>
      <c r="B98" s="162" t="s">
        <v>208</v>
      </c>
      <c r="C98" s="162"/>
      <c r="D98" s="162"/>
      <c r="E98" s="162"/>
      <c r="F98" s="162"/>
      <c r="G98" s="162"/>
      <c r="H98" s="162"/>
      <c r="I98" s="118">
        <f>1/12</f>
        <v>8.3333333333333329E-2</v>
      </c>
      <c r="J98" s="73">
        <f>I24*I98</f>
        <v>329.61500000000001</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ht="15.75" customHeight="1" x14ac:dyDescent="0.35">
      <c r="A99" s="23" t="s">
        <v>17</v>
      </c>
      <c r="B99" s="166" t="s">
        <v>207</v>
      </c>
      <c r="C99" s="166"/>
      <c r="D99" s="166"/>
      <c r="E99" s="166"/>
      <c r="F99" s="166"/>
      <c r="G99" s="166"/>
      <c r="H99" s="166"/>
      <c r="I99" s="118">
        <f>(5/30/12)*100%</f>
        <v>1.3888888888888888E-2</v>
      </c>
      <c r="J99" s="73">
        <f>I24*I99</f>
        <v>54.935833333333335</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ht="18.5" customHeight="1" x14ac:dyDescent="0.35">
      <c r="A100" s="23" t="s">
        <v>33</v>
      </c>
      <c r="B100" s="166" t="s">
        <v>206</v>
      </c>
      <c r="C100" s="166"/>
      <c r="D100" s="166"/>
      <c r="E100" s="166"/>
      <c r="F100" s="166"/>
      <c r="G100" s="166"/>
      <c r="H100" s="166"/>
      <c r="I100" s="118">
        <f>(5/30/12)*0.015*100%</f>
        <v>2.0833333333333332E-4</v>
      </c>
      <c r="J100" s="73">
        <f>I24*I100</f>
        <v>0.82403749999999998</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x14ac:dyDescent="0.35">
      <c r="A101" s="23" t="s">
        <v>36</v>
      </c>
      <c r="B101" s="166" t="s">
        <v>212</v>
      </c>
      <c r="C101" s="166"/>
      <c r="D101" s="166"/>
      <c r="E101" s="166"/>
      <c r="F101" s="166"/>
      <c r="G101" s="166"/>
      <c r="H101" s="166"/>
      <c r="I101" s="121">
        <f>(1/12)*0.0178*100%/2</f>
        <v>7.4166666666666662E-4</v>
      </c>
      <c r="J101" s="73">
        <f>I24*I101</f>
        <v>2.9335735000000001</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02" spans="1:255" ht="31" customHeight="1" x14ac:dyDescent="0.35">
      <c r="A102" s="23" t="s">
        <v>9</v>
      </c>
      <c r="B102" s="166" t="s">
        <v>211</v>
      </c>
      <c r="C102" s="166"/>
      <c r="D102" s="166"/>
      <c r="E102" s="166"/>
      <c r="F102" s="166"/>
      <c r="G102" s="166"/>
      <c r="H102" s="166"/>
      <c r="I102" s="121">
        <f>11.11%*5.28%*50%</f>
        <v>2.9330399999999996E-3</v>
      </c>
      <c r="J102" s="73">
        <f>I24*I102</f>
        <v>11.6012877552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row>
    <row r="103" spans="1:255" x14ac:dyDescent="0.35">
      <c r="A103" s="2" t="s">
        <v>39</v>
      </c>
      <c r="B103" s="166" t="s">
        <v>205</v>
      </c>
      <c r="C103" s="166"/>
      <c r="D103" s="166"/>
      <c r="E103" s="166"/>
      <c r="F103" s="166"/>
      <c r="G103" s="166"/>
      <c r="H103" s="166"/>
      <c r="I103" s="118">
        <f>(1/30/12)*100%</f>
        <v>2.7777777777777779E-3</v>
      </c>
      <c r="J103" s="73">
        <f>I24*I103</f>
        <v>10.987166666666667</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row>
    <row r="104" spans="1:255" ht="15.75" customHeight="1" x14ac:dyDescent="0.35">
      <c r="A104" s="124"/>
      <c r="B104" s="182" t="s">
        <v>213</v>
      </c>
      <c r="C104" s="183"/>
      <c r="D104" s="183"/>
      <c r="E104" s="183"/>
      <c r="F104" s="183"/>
      <c r="G104" s="183"/>
      <c r="H104" s="184"/>
      <c r="I104" s="122">
        <f>SUM(I98:I103)</f>
        <v>0.10388304</v>
      </c>
      <c r="J104" s="83">
        <f>SUM(J98:J103)</f>
        <v>410.89689875520003</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row>
    <row r="105" spans="1:255"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row>
    <row r="106" spans="1:255"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row>
    <row r="107" spans="1:255"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row>
    <row r="108" spans="1:255"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row>
    <row r="109" spans="1:255"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row>
    <row r="110" spans="1:255"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row>
    <row r="111" spans="1:255"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row>
    <row r="112" spans="1:255"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row>
    <row r="113" spans="1:255"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row>
    <row r="114" spans="1:255"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row>
    <row r="115" spans="1:255"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row>
    <row r="116" spans="1:255"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row>
    <row r="117" spans="1:255"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row>
    <row r="118" spans="1:255"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row>
    <row r="119" spans="1:255"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row>
    <row r="120" spans="1:255"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row>
    <row r="121" spans="1:255"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row>
    <row r="122" spans="1:255"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row>
    <row r="123" spans="1:255"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row>
    <row r="124" spans="1:255"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row>
    <row r="125" spans="1:255"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row>
    <row r="126" spans="1:255"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row>
    <row r="127" spans="1:255"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row>
    <row r="128" spans="1:255"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c r="IV131" s="37"/>
    </row>
    <row r="132" spans="1:256" ht="61.5" customHeight="1" x14ac:dyDescent="0.35">
      <c r="A132" s="191" t="s">
        <v>83</v>
      </c>
      <c r="B132" s="191"/>
      <c r="C132" s="191"/>
      <c r="D132" s="191"/>
      <c r="E132" s="191"/>
      <c r="F132" s="191"/>
      <c r="G132" s="191"/>
      <c r="H132" s="14" t="s">
        <v>46</v>
      </c>
      <c r="I132" s="87">
        <f>I24+I75+J86+I117+I126</f>
        <v>6555.2437451466667</v>
      </c>
      <c r="J132" s="34"/>
      <c r="K132" s="33"/>
      <c r="L132" s="33"/>
      <c r="IV132" s="37"/>
    </row>
    <row r="133" spans="1:256" ht="15.75" customHeight="1" x14ac:dyDescent="0.35">
      <c r="A133" s="23" t="s">
        <v>16</v>
      </c>
      <c r="B133" s="161" t="s">
        <v>6</v>
      </c>
      <c r="C133" s="161"/>
      <c r="D133" s="161"/>
      <c r="E133" s="161"/>
      <c r="F133" s="161"/>
      <c r="G133" s="161"/>
      <c r="H133" s="48">
        <v>5.21E-2</v>
      </c>
      <c r="I133" s="73">
        <f>ROUND(H133*I132,2)</f>
        <v>341.53</v>
      </c>
      <c r="J133" s="34"/>
      <c r="K133" s="33"/>
      <c r="L133" s="33"/>
      <c r="IV133" s="37"/>
    </row>
    <row r="134" spans="1:256" ht="59.25" customHeight="1" x14ac:dyDescent="0.35">
      <c r="A134" s="191" t="s">
        <v>84</v>
      </c>
      <c r="B134" s="191"/>
      <c r="C134" s="191"/>
      <c r="D134" s="191"/>
      <c r="E134" s="191"/>
      <c r="F134" s="191"/>
      <c r="G134" s="191"/>
      <c r="H134" s="51" t="s">
        <v>46</v>
      </c>
      <c r="I134" s="87">
        <f>I132+I133</f>
        <v>6896.7737451466664</v>
      </c>
      <c r="J134" s="34"/>
      <c r="K134" s="33"/>
      <c r="L134" s="33"/>
      <c r="IV134" s="37"/>
    </row>
    <row r="135" spans="1:256" ht="15.75" customHeight="1" x14ac:dyDescent="0.35">
      <c r="A135" s="23" t="s">
        <v>17</v>
      </c>
      <c r="B135" s="161" t="s">
        <v>8</v>
      </c>
      <c r="C135" s="161"/>
      <c r="D135" s="161"/>
      <c r="E135" s="161"/>
      <c r="F135" s="161"/>
      <c r="G135" s="161"/>
      <c r="H135" s="48">
        <v>9.2700000000000005E-2</v>
      </c>
      <c r="I135" s="73">
        <f>ROUND(H135*I134,2)</f>
        <v>639.33000000000004</v>
      </c>
      <c r="J135" s="34"/>
      <c r="K135" s="33"/>
      <c r="L135" s="33"/>
      <c r="IV135" s="37"/>
    </row>
    <row r="136" spans="1:256" ht="55.5" customHeight="1" x14ac:dyDescent="0.35">
      <c r="A136" s="191" t="s">
        <v>85</v>
      </c>
      <c r="B136" s="191"/>
      <c r="C136" s="191"/>
      <c r="D136" s="191"/>
      <c r="E136" s="191"/>
      <c r="F136" s="191"/>
      <c r="G136" s="191"/>
      <c r="H136" s="51" t="s">
        <v>46</v>
      </c>
      <c r="I136" s="87">
        <f>SUM(I132+I133+I135)</f>
        <v>7536.1037451466664</v>
      </c>
      <c r="J136" s="34"/>
      <c r="K136" s="33"/>
      <c r="L136" s="33"/>
      <c r="IV136" s="37"/>
    </row>
    <row r="137" spans="1:256" ht="15.75" customHeight="1" x14ac:dyDescent="0.35">
      <c r="A137" s="23" t="s">
        <v>33</v>
      </c>
      <c r="B137" s="161" t="s">
        <v>7</v>
      </c>
      <c r="C137" s="161"/>
      <c r="D137" s="161"/>
      <c r="E137" s="161"/>
      <c r="F137" s="161"/>
      <c r="G137" s="161"/>
      <c r="H137" s="48" t="s">
        <v>46</v>
      </c>
      <c r="I137" s="73" t="s">
        <v>46</v>
      </c>
      <c r="J137" s="34"/>
      <c r="K137" s="33"/>
      <c r="L137" s="33"/>
      <c r="IV137" s="37"/>
    </row>
    <row r="138" spans="1:256" ht="15.75" customHeight="1" x14ac:dyDescent="0.35">
      <c r="A138" s="23"/>
      <c r="B138" s="175" t="s">
        <v>86</v>
      </c>
      <c r="C138" s="175"/>
      <c r="D138" s="175"/>
      <c r="E138" s="175"/>
      <c r="F138" s="175"/>
      <c r="G138" s="175"/>
      <c r="H138" s="48" t="s">
        <v>46</v>
      </c>
      <c r="I138" s="73" t="s">
        <v>46</v>
      </c>
      <c r="J138" s="34"/>
      <c r="K138" s="33"/>
      <c r="L138" s="33"/>
      <c r="IV138" s="37"/>
    </row>
    <row r="139" spans="1:256" x14ac:dyDescent="0.35">
      <c r="A139" s="23"/>
      <c r="B139" s="195" t="s">
        <v>87</v>
      </c>
      <c r="C139" s="195"/>
      <c r="D139" s="195"/>
      <c r="E139" s="195"/>
      <c r="F139" s="195"/>
      <c r="G139" s="195"/>
      <c r="H139" s="52">
        <v>7.5999999999999998E-2</v>
      </c>
      <c r="I139" s="73">
        <f>ROUND(($I$136/(1-$H$149))*H139,2)</f>
        <v>667.92</v>
      </c>
      <c r="J139" s="89" t="s">
        <v>166</v>
      </c>
      <c r="K139" s="33"/>
      <c r="L139" s="33"/>
      <c r="IV139" s="37"/>
    </row>
    <row r="140" spans="1:256" x14ac:dyDescent="0.35">
      <c r="A140" s="23"/>
      <c r="B140" s="195" t="s">
        <v>88</v>
      </c>
      <c r="C140" s="195"/>
      <c r="D140" s="195"/>
      <c r="E140" s="195"/>
      <c r="F140" s="195"/>
      <c r="G140" s="195"/>
      <c r="H140" s="52">
        <v>1.6500000000000001E-2</v>
      </c>
      <c r="I140" s="73">
        <f>ROUND(($I$136/(1-$H$149))*H140,2)</f>
        <v>145.01</v>
      </c>
      <c r="J140" s="89" t="s">
        <v>166</v>
      </c>
      <c r="K140" s="33"/>
      <c r="L140" s="33"/>
      <c r="IV140" s="37"/>
    </row>
    <row r="141" spans="1:256" ht="27" customHeight="1" x14ac:dyDescent="0.35">
      <c r="A141" s="23"/>
      <c r="B141" s="196" t="s">
        <v>89</v>
      </c>
      <c r="C141" s="196"/>
      <c r="D141" s="196"/>
      <c r="E141" s="196"/>
      <c r="F141" s="196"/>
      <c r="G141" s="196"/>
      <c r="H141" s="52" t="s">
        <v>46</v>
      </c>
      <c r="I141" s="73" t="s">
        <v>46</v>
      </c>
      <c r="J141" s="34"/>
      <c r="K141" s="33"/>
      <c r="L141" s="33"/>
      <c r="IV141" s="37"/>
    </row>
    <row r="142" spans="1:256" ht="27" customHeight="1" x14ac:dyDescent="0.35">
      <c r="A142" s="23"/>
      <c r="B142" s="196" t="s">
        <v>152</v>
      </c>
      <c r="C142" s="196"/>
      <c r="D142" s="196"/>
      <c r="E142" s="196"/>
      <c r="F142" s="196"/>
      <c r="G142" s="196"/>
      <c r="H142" s="52" t="s">
        <v>46</v>
      </c>
      <c r="I142" s="73" t="s">
        <v>46</v>
      </c>
      <c r="J142" s="34"/>
      <c r="K142" s="33"/>
      <c r="L142" s="33"/>
      <c r="IV142" s="37"/>
    </row>
    <row r="143" spans="1:256" ht="18" customHeight="1" x14ac:dyDescent="0.35">
      <c r="A143" s="23"/>
      <c r="B143" s="197" t="s">
        <v>90</v>
      </c>
      <c r="C143" s="197"/>
      <c r="D143" s="197"/>
      <c r="E143" s="197"/>
      <c r="F143" s="197"/>
      <c r="G143" s="197"/>
      <c r="H143" s="52" t="s">
        <v>46</v>
      </c>
      <c r="I143" s="73" t="s">
        <v>46</v>
      </c>
      <c r="J143" s="34"/>
      <c r="K143" s="33"/>
      <c r="L143" s="33"/>
      <c r="IV143" s="37"/>
    </row>
    <row r="144" spans="1:256" ht="18" customHeight="1" x14ac:dyDescent="0.35">
      <c r="A144" s="23"/>
      <c r="B144" s="166" t="s">
        <v>91</v>
      </c>
      <c r="C144" s="166"/>
      <c r="D144" s="166"/>
      <c r="E144" s="166"/>
      <c r="F144" s="166"/>
      <c r="G144" s="166"/>
      <c r="H144" s="52" t="s">
        <v>46</v>
      </c>
      <c r="I144" s="73" t="s">
        <v>46</v>
      </c>
      <c r="J144" s="34"/>
      <c r="K144" s="33"/>
      <c r="L144" s="33"/>
      <c r="IV144" s="37"/>
    </row>
    <row r="145" spans="1:256" ht="15" customHeight="1" x14ac:dyDescent="0.35">
      <c r="A145" s="23"/>
      <c r="B145" s="166" t="s">
        <v>191</v>
      </c>
      <c r="C145" s="166"/>
      <c r="D145" s="166"/>
      <c r="E145" s="166"/>
      <c r="F145" s="166"/>
      <c r="G145" s="166"/>
      <c r="H145" s="52">
        <v>0.05</v>
      </c>
      <c r="I145" s="73">
        <f>ROUND(($I$136/(1-$H$149))*H145,2)</f>
        <v>439.42</v>
      </c>
      <c r="J145" s="34"/>
      <c r="K145" s="33"/>
      <c r="L145" s="33"/>
      <c r="IV145" s="37"/>
    </row>
    <row r="146" spans="1:256" ht="15.75" customHeight="1" x14ac:dyDescent="0.35">
      <c r="A146" s="164" t="s">
        <v>1</v>
      </c>
      <c r="B146" s="164"/>
      <c r="C146" s="164"/>
      <c r="D146" s="164"/>
      <c r="E146" s="164"/>
      <c r="F146" s="164"/>
      <c r="G146" s="164"/>
      <c r="H146" s="164"/>
      <c r="I146" s="74">
        <f>SUM(I133+I135+I139+I140+I145)</f>
        <v>2233.21</v>
      </c>
      <c r="J146" s="34"/>
      <c r="K146" s="33"/>
      <c r="L146" s="33"/>
      <c r="IV146" s="37"/>
    </row>
    <row r="147" spans="1:256" ht="15" customHeight="1" x14ac:dyDescent="0.35">
      <c r="A147" s="84"/>
      <c r="B147" s="84"/>
      <c r="C147" s="84"/>
      <c r="D147" s="84"/>
      <c r="E147" s="84"/>
      <c r="F147" s="84"/>
      <c r="G147" s="84"/>
      <c r="H147" s="84"/>
      <c r="I147" s="84"/>
      <c r="J147" s="34"/>
      <c r="K147" s="33"/>
      <c r="L147" s="33"/>
      <c r="IV147" s="37"/>
    </row>
    <row r="148" spans="1:256" ht="16.5" customHeight="1" x14ac:dyDescent="0.35">
      <c r="A148" s="84"/>
      <c r="B148" s="84"/>
      <c r="C148" s="84"/>
      <c r="D148" s="84"/>
      <c r="E148" s="84"/>
      <c r="F148" s="84"/>
      <c r="G148" s="84"/>
      <c r="H148" s="84"/>
      <c r="I148" s="84"/>
      <c r="J148" s="34"/>
      <c r="K148" s="33"/>
      <c r="L148" s="33"/>
      <c r="IV148" s="37"/>
    </row>
    <row r="149" spans="1:256" ht="15.75" customHeight="1" x14ac:dyDescent="0.35">
      <c r="A149" s="138" t="s">
        <v>92</v>
      </c>
      <c r="B149" s="138"/>
      <c r="C149" s="138"/>
      <c r="D149" s="138"/>
      <c r="E149" s="138"/>
      <c r="F149" s="138"/>
      <c r="G149" s="138"/>
      <c r="H149" s="51">
        <f>SUM(H139:H145)</f>
        <v>0.14250000000000002</v>
      </c>
      <c r="I149" s="87">
        <f>SUM(I139:I145)</f>
        <v>1252.3499999999999</v>
      </c>
      <c r="J149" s="34"/>
      <c r="K149" s="33"/>
      <c r="L149" s="33"/>
      <c r="IV149" s="37"/>
    </row>
    <row r="150" spans="1:256" ht="12.75" customHeight="1" x14ac:dyDescent="0.35">
      <c r="A150" s="193" t="s">
        <v>93</v>
      </c>
      <c r="B150" s="193"/>
      <c r="C150" s="194" t="s">
        <v>94</v>
      </c>
      <c r="D150" s="194"/>
      <c r="E150" s="194"/>
      <c r="F150" s="194"/>
      <c r="G150" s="194"/>
      <c r="H150" s="194"/>
      <c r="I150" s="194"/>
      <c r="J150" s="34"/>
      <c r="K150" s="33"/>
      <c r="L150" s="33"/>
      <c r="IV150" s="37"/>
    </row>
    <row r="151" spans="1:256" ht="12" customHeight="1" x14ac:dyDescent="0.35">
      <c r="A151" s="193"/>
      <c r="B151" s="193"/>
      <c r="C151" s="194" t="s">
        <v>95</v>
      </c>
      <c r="D151" s="194"/>
      <c r="E151" s="194"/>
      <c r="F151" s="194"/>
      <c r="G151" s="194"/>
      <c r="H151" s="194"/>
      <c r="I151" s="194"/>
      <c r="J151" s="34"/>
      <c r="K151" s="33"/>
      <c r="L151" s="33"/>
      <c r="IV151" s="37"/>
    </row>
    <row r="152" spans="1:256" ht="13.5" customHeight="1" x14ac:dyDescent="0.35">
      <c r="A152" s="193"/>
      <c r="B152" s="193"/>
      <c r="C152" s="194" t="s">
        <v>96</v>
      </c>
      <c r="D152" s="194"/>
      <c r="E152" s="194"/>
      <c r="F152" s="194"/>
      <c r="G152" s="194"/>
      <c r="H152" s="194"/>
      <c r="I152" s="194"/>
      <c r="J152" s="34"/>
      <c r="K152" s="33"/>
      <c r="L152" s="33"/>
      <c r="IV152" s="37"/>
    </row>
    <row r="153" spans="1:256" ht="26.15" customHeight="1" x14ac:dyDescent="0.35">
      <c r="A153" s="176" t="s">
        <v>97</v>
      </c>
      <c r="B153" s="176"/>
      <c r="C153" s="176"/>
      <c r="D153" s="176"/>
      <c r="E153" s="176"/>
      <c r="F153" s="176"/>
      <c r="G153" s="176"/>
      <c r="H153" s="176"/>
      <c r="I153" s="176"/>
      <c r="J153" s="33"/>
      <c r="K153" s="33"/>
      <c r="L153" s="33"/>
      <c r="IV153" s="37"/>
    </row>
    <row r="154" spans="1:256" ht="14.5" customHeight="1" x14ac:dyDescent="0.35">
      <c r="A154" s="200"/>
      <c r="B154" s="200"/>
      <c r="C154" s="200"/>
      <c r="D154" s="200"/>
      <c r="E154" s="200"/>
      <c r="F154" s="200"/>
      <c r="G154" s="200"/>
      <c r="H154" s="200"/>
      <c r="I154" s="200"/>
      <c r="J154" s="33"/>
      <c r="K154" s="33"/>
      <c r="L154" s="33"/>
      <c r="IV154" s="37"/>
    </row>
    <row r="155" spans="1:256" ht="17" customHeight="1" x14ac:dyDescent="0.35">
      <c r="A155" s="84"/>
      <c r="B155" s="84"/>
      <c r="C155" s="84"/>
      <c r="D155" s="84"/>
      <c r="E155" s="84"/>
      <c r="F155" s="84"/>
      <c r="G155" s="84"/>
      <c r="H155" s="84"/>
      <c r="I155" s="84"/>
      <c r="J155" s="34"/>
      <c r="K155" s="33"/>
      <c r="L155" s="33"/>
      <c r="IV155" s="37"/>
    </row>
    <row r="156" spans="1:256" x14ac:dyDescent="0.35">
      <c r="A156" s="201" t="s">
        <v>162</v>
      </c>
      <c r="B156" s="201"/>
      <c r="C156" s="201"/>
      <c r="D156" s="201"/>
      <c r="E156" s="201"/>
      <c r="F156" s="201"/>
      <c r="G156" s="201"/>
      <c r="H156" s="201"/>
      <c r="I156" s="201"/>
      <c r="J156" s="34"/>
      <c r="K156" s="33"/>
      <c r="L156" s="33"/>
      <c r="IV156" s="37"/>
    </row>
    <row r="157" spans="1:256" ht="15" customHeight="1" x14ac:dyDescent="0.35">
      <c r="A157" s="150" t="s">
        <v>98</v>
      </c>
      <c r="B157" s="150"/>
      <c r="C157" s="150"/>
      <c r="D157" s="150"/>
      <c r="E157" s="150"/>
      <c r="F157" s="150"/>
      <c r="G157" s="150"/>
      <c r="H157" s="150"/>
      <c r="I157" s="22" t="s">
        <v>23</v>
      </c>
      <c r="J157" s="34"/>
      <c r="K157" s="33"/>
      <c r="L157" s="33"/>
      <c r="IV157" s="37"/>
    </row>
    <row r="158" spans="1:256" ht="15" customHeight="1" x14ac:dyDescent="0.35">
      <c r="A158" s="53" t="s">
        <v>16</v>
      </c>
      <c r="B158" s="166" t="s">
        <v>99</v>
      </c>
      <c r="C158" s="166"/>
      <c r="D158" s="166"/>
      <c r="E158" s="166"/>
      <c r="F158" s="166"/>
      <c r="G158" s="166"/>
      <c r="H158" s="166"/>
      <c r="I158" s="75">
        <f>I24</f>
        <v>3955.38</v>
      </c>
      <c r="J158" s="34"/>
      <c r="K158" s="33"/>
      <c r="L158" s="33"/>
      <c r="IV158" s="37"/>
    </row>
    <row r="159" spans="1:256" ht="15" customHeight="1" x14ac:dyDescent="0.35">
      <c r="A159" s="53" t="s">
        <v>17</v>
      </c>
      <c r="B159" s="166" t="s">
        <v>19</v>
      </c>
      <c r="C159" s="166"/>
      <c r="D159" s="166"/>
      <c r="E159" s="166"/>
      <c r="F159" s="166"/>
      <c r="G159" s="166"/>
      <c r="H159" s="166"/>
      <c r="I159" s="75">
        <f>I75</f>
        <v>2338.3850000000002</v>
      </c>
      <c r="J159" s="34"/>
      <c r="K159" s="33"/>
      <c r="L159" s="33"/>
      <c r="IV159" s="37"/>
    </row>
    <row r="160" spans="1:256" ht="15" customHeight="1" x14ac:dyDescent="0.35">
      <c r="A160" s="53" t="s">
        <v>33</v>
      </c>
      <c r="B160" s="166" t="s">
        <v>100</v>
      </c>
      <c r="C160" s="166"/>
      <c r="D160" s="166"/>
      <c r="E160" s="166"/>
      <c r="F160" s="166"/>
      <c r="G160" s="166"/>
      <c r="H160" s="166"/>
      <c r="I160" s="75">
        <f>J86</f>
        <v>261.47874514666671</v>
      </c>
      <c r="J160" s="34"/>
      <c r="K160" s="33"/>
      <c r="L160" s="33"/>
      <c r="IV160" s="37"/>
    </row>
    <row r="161" spans="1:256" ht="15" customHeight="1" x14ac:dyDescent="0.35">
      <c r="A161" s="53" t="s">
        <v>36</v>
      </c>
      <c r="B161" s="166" t="s">
        <v>101</v>
      </c>
      <c r="C161" s="166"/>
      <c r="D161" s="166"/>
      <c r="E161" s="166"/>
      <c r="F161" s="166"/>
      <c r="G161" s="166"/>
      <c r="H161" s="166"/>
      <c r="I161" s="75">
        <f>I117</f>
        <v>0</v>
      </c>
      <c r="J161" s="34"/>
      <c r="K161" s="33"/>
      <c r="L161" s="33"/>
      <c r="IV161" s="37"/>
    </row>
    <row r="162" spans="1:256" ht="15" customHeight="1" x14ac:dyDescent="0.35">
      <c r="A162" s="53" t="s">
        <v>9</v>
      </c>
      <c r="B162" s="166" t="s">
        <v>102</v>
      </c>
      <c r="C162" s="166"/>
      <c r="D162" s="166"/>
      <c r="E162" s="166"/>
      <c r="F162" s="166"/>
      <c r="G162" s="166"/>
      <c r="H162" s="166"/>
      <c r="I162" s="75">
        <f>I126</f>
        <v>0</v>
      </c>
      <c r="J162" s="34"/>
      <c r="K162" s="33"/>
      <c r="L162" s="33"/>
      <c r="IV162" s="37"/>
    </row>
    <row r="163" spans="1:256" ht="15" customHeight="1" x14ac:dyDescent="0.35">
      <c r="A163" s="198" t="s">
        <v>103</v>
      </c>
      <c r="B163" s="198"/>
      <c r="C163" s="198"/>
      <c r="D163" s="198"/>
      <c r="E163" s="198"/>
      <c r="F163" s="198"/>
      <c r="G163" s="198"/>
      <c r="H163" s="198"/>
      <c r="I163" s="80">
        <f>SUM(I158:I162)</f>
        <v>6555.2437451466667</v>
      </c>
      <c r="J163" s="34"/>
      <c r="K163" s="33"/>
      <c r="L163" s="33"/>
      <c r="IV163" s="37"/>
    </row>
    <row r="164" spans="1:256" ht="15" customHeight="1" x14ac:dyDescent="0.35">
      <c r="A164" s="53" t="s">
        <v>39</v>
      </c>
      <c r="B164" s="149" t="s">
        <v>104</v>
      </c>
      <c r="C164" s="149"/>
      <c r="D164" s="149"/>
      <c r="E164" s="149"/>
      <c r="F164" s="149"/>
      <c r="G164" s="149"/>
      <c r="H164" s="149"/>
      <c r="I164" s="75">
        <f>I146</f>
        <v>2233.21</v>
      </c>
      <c r="J164" s="34"/>
      <c r="K164" s="33"/>
      <c r="L164" s="33"/>
      <c r="IV164" s="37"/>
    </row>
    <row r="165" spans="1:256" ht="15" customHeight="1" x14ac:dyDescent="0.35">
      <c r="A165" s="199" t="s">
        <v>105</v>
      </c>
      <c r="B165" s="199"/>
      <c r="C165" s="199"/>
      <c r="D165" s="199"/>
      <c r="E165" s="199"/>
      <c r="F165" s="199"/>
      <c r="G165" s="199"/>
      <c r="H165" s="199"/>
      <c r="I165" s="88">
        <f>SUM(I163:I164)</f>
        <v>8788.4537451466676</v>
      </c>
      <c r="J165" s="34"/>
      <c r="K165" s="33"/>
      <c r="L165" s="33"/>
      <c r="IV165" s="37"/>
    </row>
    <row r="166" spans="1:256" s="37" customFormat="1" ht="15" hidden="1" customHeight="1" x14ac:dyDescent="0.35">
      <c r="A166" s="28"/>
      <c r="B166" s="28"/>
      <c r="C166" s="28"/>
      <c r="D166" s="28"/>
      <c r="E166" s="28"/>
      <c r="F166" s="28"/>
      <c r="G166" s="28"/>
      <c r="H166" s="54"/>
      <c r="I166" s="55"/>
      <c r="J166" s="56"/>
      <c r="K166" s="57"/>
      <c r="L166" s="58"/>
    </row>
    <row r="167" spans="1:256" s="37" customFormat="1" x14ac:dyDescent="0.35">
      <c r="A167" s="59"/>
      <c r="B167" s="59"/>
      <c r="C167" s="59"/>
      <c r="D167" s="59"/>
      <c r="E167" s="59"/>
      <c r="F167" s="59"/>
      <c r="G167" s="59"/>
      <c r="H167" s="59"/>
      <c r="I167" s="60"/>
    </row>
  </sheetData>
  <mergeCells count="142">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B160:H160"/>
    <mergeCell ref="B161:H161"/>
    <mergeCell ref="B162:H162"/>
    <mergeCell ref="A163:H163"/>
    <mergeCell ref="B164:H164"/>
    <mergeCell ref="A165:H165"/>
    <mergeCell ref="A153:I153"/>
    <mergeCell ref="A154:I154"/>
    <mergeCell ref="A156:I156"/>
    <mergeCell ref="A157:H157"/>
    <mergeCell ref="B158:H158"/>
    <mergeCell ref="B159:H159"/>
    <mergeCell ref="A132:G132"/>
    <mergeCell ref="B133:G133"/>
    <mergeCell ref="A134:G134"/>
    <mergeCell ref="B135:G135"/>
    <mergeCell ref="A136:G136"/>
    <mergeCell ref="B137:G137"/>
    <mergeCell ref="B124:H124"/>
    <mergeCell ref="B125:H125"/>
    <mergeCell ref="A127:I127"/>
    <mergeCell ref="A130:I130"/>
    <mergeCell ref="B131:G131"/>
    <mergeCell ref="A118:I118"/>
    <mergeCell ref="A120:I120"/>
    <mergeCell ref="B121:H121"/>
    <mergeCell ref="B122:H122"/>
    <mergeCell ref="B123:H123"/>
    <mergeCell ref="B109:H109"/>
    <mergeCell ref="A110:H110"/>
    <mergeCell ref="A113:I113"/>
    <mergeCell ref="B114:H114"/>
    <mergeCell ref="B115:H115"/>
    <mergeCell ref="B116:H116"/>
    <mergeCell ref="A107:I107"/>
    <mergeCell ref="B108:H108"/>
    <mergeCell ref="B104:H104"/>
    <mergeCell ref="A94:I94"/>
    <mergeCell ref="B97:H97"/>
    <mergeCell ref="B98:H98"/>
    <mergeCell ref="B99:H99"/>
    <mergeCell ref="B100:H100"/>
    <mergeCell ref="A117:H117"/>
    <mergeCell ref="A87:I87"/>
    <mergeCell ref="A89:I89"/>
    <mergeCell ref="A90:I90"/>
    <mergeCell ref="A91:I91"/>
    <mergeCell ref="A92:I92"/>
    <mergeCell ref="A96:J96"/>
    <mergeCell ref="B101:H101"/>
    <mergeCell ref="B102:H102"/>
    <mergeCell ref="B103:H10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7:G47"/>
    <mergeCell ref="A48:G48"/>
    <mergeCell ref="A49:I49"/>
    <mergeCell ref="A52:I52"/>
    <mergeCell ref="A46:G46"/>
    <mergeCell ref="B38:G38"/>
    <mergeCell ref="B39:G39"/>
    <mergeCell ref="B40:G40"/>
    <mergeCell ref="B41:C41"/>
    <mergeCell ref="B42:G42"/>
    <mergeCell ref="B43:G43"/>
    <mergeCell ref="A37:I37"/>
    <mergeCell ref="B22:H22"/>
    <mergeCell ref="B23:G23"/>
    <mergeCell ref="A24:H24"/>
    <mergeCell ref="A25:I25"/>
    <mergeCell ref="A28:I28"/>
    <mergeCell ref="A29:I29"/>
    <mergeCell ref="B44:G44"/>
    <mergeCell ref="B45:G45"/>
    <mergeCell ref="B14:F14"/>
    <mergeCell ref="G14:I14"/>
    <mergeCell ref="B15:F15"/>
    <mergeCell ref="G15:I15"/>
    <mergeCell ref="B30:H30"/>
    <mergeCell ref="B31:G31"/>
    <mergeCell ref="B32:G32"/>
    <mergeCell ref="A33:H33"/>
    <mergeCell ref="A34:I34"/>
    <mergeCell ref="B81:H81"/>
    <mergeCell ref="B82:H82"/>
    <mergeCell ref="B83:H83"/>
    <mergeCell ref="B84:H84"/>
    <mergeCell ref="B85:H85"/>
    <mergeCell ref="B86:H86"/>
    <mergeCell ref="A126:H126"/>
    <mergeCell ref="A3:I3"/>
    <mergeCell ref="A4:I4"/>
    <mergeCell ref="A5:I5"/>
    <mergeCell ref="A6:I6"/>
    <mergeCell ref="A8:I8"/>
    <mergeCell ref="A9:I9"/>
    <mergeCell ref="A78:J78"/>
    <mergeCell ref="B79:H79"/>
    <mergeCell ref="B80:H80"/>
    <mergeCell ref="B16:F16"/>
    <mergeCell ref="G16:I16"/>
    <mergeCell ref="B17:F17"/>
    <mergeCell ref="G17:I17"/>
    <mergeCell ref="A20:I20"/>
    <mergeCell ref="B21:G21"/>
    <mergeCell ref="A10:I10"/>
    <mergeCell ref="A13:I13"/>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B792-B0E0-40B0-A50B-FDC1D6DD229A}">
  <dimension ref="A1:IV167"/>
  <sheetViews>
    <sheetView topLeftCell="A144"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173</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x14ac:dyDescent="0.35">
      <c r="A15" s="45" t="s">
        <v>17</v>
      </c>
      <c r="B15" s="155" t="s">
        <v>147</v>
      </c>
      <c r="C15" s="156"/>
      <c r="D15" s="156"/>
      <c r="E15" s="156"/>
      <c r="F15" s="157"/>
      <c r="G15" s="158" t="s">
        <v>187</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45413</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189</v>
      </c>
      <c r="C22" s="166"/>
      <c r="D22" s="166"/>
      <c r="E22" s="166"/>
      <c r="F22" s="166"/>
      <c r="G22" s="166"/>
      <c r="H22" s="166"/>
      <c r="I22" s="62">
        <v>3042.6</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912.78</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3955.38</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329.48</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109.96</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439.44</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878.96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109.87</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131.84</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65.92</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43.95</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26.37</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8.7899999999999991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23"/>
      <c r="B46" s="126"/>
      <c r="C46" s="127"/>
      <c r="D46" s="127"/>
      <c r="E46" s="127"/>
      <c r="F46" s="127"/>
      <c r="G46" s="128"/>
      <c r="H46" s="107">
        <f>SUM(H39:H45)</f>
        <v>0.28800000000000003</v>
      </c>
      <c r="I46" s="62">
        <f>SUM(I39:I45)</f>
        <v>1265.7</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351.59</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1617.29</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183</v>
      </c>
      <c r="C54" s="166"/>
      <c r="D54" s="166"/>
      <c r="E54" s="166"/>
      <c r="F54" s="166"/>
      <c r="G54" s="166"/>
      <c r="H54" s="166"/>
      <c r="I54" s="93">
        <f>(4.65*2*21.25)-(I22/100)*6</f>
        <v>15.069000000000045</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x14ac:dyDescent="0.35">
      <c r="A55" s="23"/>
      <c r="B55" s="172" t="s">
        <v>45</v>
      </c>
      <c r="C55" s="172"/>
      <c r="D55" s="172"/>
      <c r="E55" s="172"/>
      <c r="F55" s="172"/>
      <c r="G55" s="172"/>
      <c r="H55" s="79">
        <v>4.6500000000000004</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f>H60*99%</f>
        <v>281.65499999999997</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29.5" customHeight="1" x14ac:dyDescent="0.35">
      <c r="A60" s="23"/>
      <c r="B60" s="172" t="s">
        <v>196</v>
      </c>
      <c r="C60" s="172"/>
      <c r="D60" s="172"/>
      <c r="E60" s="172"/>
      <c r="F60" s="172"/>
      <c r="G60" s="172"/>
      <c r="H60" s="79">
        <v>284.5</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0.01</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296.72400000000005</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439.44</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1617.29</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296.72400000000005</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2353.4540000000002</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5"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16.48075</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1.3290076799999999</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136.06507200000001</v>
      </c>
      <c r="K82" s="114"/>
      <c r="L82" s="116"/>
    </row>
    <row r="83" spans="1:256" ht="31.75" customHeight="1" x14ac:dyDescent="0.35">
      <c r="A83" s="23" t="s">
        <v>36</v>
      </c>
      <c r="B83" s="166" t="s">
        <v>203</v>
      </c>
      <c r="C83" s="166"/>
      <c r="D83" s="166"/>
      <c r="E83" s="166"/>
      <c r="F83" s="166"/>
      <c r="G83" s="166"/>
      <c r="H83" s="166"/>
      <c r="I83" s="118">
        <f>(7/30)/12*100%</f>
        <v>1.9444444444444445E-2</v>
      </c>
      <c r="J83" s="73">
        <f>I24*I83</f>
        <v>76.910166666666669</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28.238248896000002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2.4554999040000003</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261.47874514666671</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3955.38</v>
      </c>
      <c r="C93" s="27"/>
      <c r="D93" s="27" t="s">
        <v>160</v>
      </c>
      <c r="E93" s="82">
        <f>I75-I54-I59</f>
        <v>2056.7300000000005</v>
      </c>
      <c r="F93" s="26"/>
      <c r="G93" s="27" t="s">
        <v>63</v>
      </c>
      <c r="H93" s="82">
        <f>J86</f>
        <v>261.47874514666671</v>
      </c>
      <c r="I93" s="75">
        <f>B93+E93+H93</f>
        <v>6273.588745146667</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329.61500000000001</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54.935833333333335</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0.82403749999999998</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2.9335735000000001</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11.6012877552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10.987166666666667</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410.89689875520003</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6570.3127451466671</v>
      </c>
      <c r="J132" s="34"/>
      <c r="K132" s="33"/>
      <c r="L132" s="33"/>
    </row>
    <row r="133" spans="1:256" ht="15.75" customHeight="1" x14ac:dyDescent="0.35">
      <c r="A133" s="23" t="s">
        <v>16</v>
      </c>
      <c r="B133" s="161" t="s">
        <v>6</v>
      </c>
      <c r="C133" s="161"/>
      <c r="D133" s="161"/>
      <c r="E133" s="161"/>
      <c r="F133" s="161"/>
      <c r="G133" s="161"/>
      <c r="H133" s="48">
        <v>5.21E-2</v>
      </c>
      <c r="I133" s="73">
        <f>ROUND(H133*I132,2)</f>
        <v>342.31</v>
      </c>
      <c r="J133" s="34"/>
      <c r="K133" s="33"/>
      <c r="L133" s="33"/>
    </row>
    <row r="134" spans="1:256" ht="59.25" customHeight="1" x14ac:dyDescent="0.35">
      <c r="A134" s="191" t="s">
        <v>84</v>
      </c>
      <c r="B134" s="191"/>
      <c r="C134" s="191"/>
      <c r="D134" s="191"/>
      <c r="E134" s="191"/>
      <c r="F134" s="191"/>
      <c r="G134" s="191"/>
      <c r="H134" s="51" t="s">
        <v>46</v>
      </c>
      <c r="I134" s="87">
        <f>I132+I133</f>
        <v>6912.6227451466675</v>
      </c>
      <c r="J134" s="34"/>
      <c r="K134" s="33"/>
      <c r="L134" s="33"/>
    </row>
    <row r="135" spans="1:256" ht="15.75" customHeight="1" x14ac:dyDescent="0.35">
      <c r="A135" s="23" t="s">
        <v>17</v>
      </c>
      <c r="B135" s="161" t="s">
        <v>8</v>
      </c>
      <c r="C135" s="161"/>
      <c r="D135" s="161"/>
      <c r="E135" s="161"/>
      <c r="F135" s="161"/>
      <c r="G135" s="161"/>
      <c r="H135" s="48">
        <v>9.2700000000000005E-2</v>
      </c>
      <c r="I135" s="73">
        <f>ROUND(H135*I134,2)</f>
        <v>640.79999999999995</v>
      </c>
      <c r="J135" s="34"/>
      <c r="K135" s="33"/>
      <c r="L135" s="33"/>
    </row>
    <row r="136" spans="1:256" ht="55.5" customHeight="1" x14ac:dyDescent="0.35">
      <c r="A136" s="191" t="s">
        <v>85</v>
      </c>
      <c r="B136" s="191"/>
      <c r="C136" s="191"/>
      <c r="D136" s="191"/>
      <c r="E136" s="191"/>
      <c r="F136" s="191"/>
      <c r="G136" s="191"/>
      <c r="H136" s="51" t="s">
        <v>46</v>
      </c>
      <c r="I136" s="87">
        <f>SUM(I132+I133+I135)</f>
        <v>7553.4227451466677</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669.46</v>
      </c>
      <c r="J139" s="89" t="s">
        <v>166</v>
      </c>
      <c r="K139" s="33"/>
      <c r="L139" s="33"/>
    </row>
    <row r="140" spans="1:256" x14ac:dyDescent="0.35">
      <c r="A140" s="23"/>
      <c r="B140" s="195" t="s">
        <v>88</v>
      </c>
      <c r="C140" s="195"/>
      <c r="D140" s="195"/>
      <c r="E140" s="195"/>
      <c r="F140" s="195"/>
      <c r="G140" s="195"/>
      <c r="H140" s="52">
        <v>1.6500000000000001E-2</v>
      </c>
      <c r="I140" s="73">
        <f>ROUND(($I$136/(1-$H$149))*H140,2)</f>
        <v>145.34</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440.43</v>
      </c>
      <c r="J145" s="34"/>
      <c r="K145" s="33"/>
      <c r="L145" s="33"/>
    </row>
    <row r="146" spans="1:12" ht="15.75" customHeight="1" x14ac:dyDescent="0.35">
      <c r="A146" s="164" t="s">
        <v>1</v>
      </c>
      <c r="B146" s="164"/>
      <c r="C146" s="164"/>
      <c r="D146" s="164"/>
      <c r="E146" s="164"/>
      <c r="F146" s="164"/>
      <c r="G146" s="164"/>
      <c r="H146" s="164"/>
      <c r="I146" s="74">
        <f>SUM(I133+I135+I139+I140+I145)</f>
        <v>2238.3399999999997</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1255.23</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3955.38</v>
      </c>
      <c r="J158" s="34"/>
      <c r="K158" s="33"/>
      <c r="L158" s="33"/>
    </row>
    <row r="159" spans="1:12" ht="15" customHeight="1" x14ac:dyDescent="0.35">
      <c r="A159" s="53" t="s">
        <v>17</v>
      </c>
      <c r="B159" s="166" t="s">
        <v>19</v>
      </c>
      <c r="C159" s="166"/>
      <c r="D159" s="166"/>
      <c r="E159" s="166"/>
      <c r="F159" s="166"/>
      <c r="G159" s="166"/>
      <c r="H159" s="166"/>
      <c r="I159" s="75">
        <f>I75</f>
        <v>2353.4540000000002</v>
      </c>
      <c r="J159" s="34"/>
      <c r="K159" s="33"/>
      <c r="L159" s="33"/>
    </row>
    <row r="160" spans="1:12" ht="15" customHeight="1" x14ac:dyDescent="0.35">
      <c r="A160" s="53" t="s">
        <v>33</v>
      </c>
      <c r="B160" s="166" t="s">
        <v>100</v>
      </c>
      <c r="C160" s="166"/>
      <c r="D160" s="166"/>
      <c r="E160" s="166"/>
      <c r="F160" s="166"/>
      <c r="G160" s="166"/>
      <c r="H160" s="166"/>
      <c r="I160" s="75">
        <f>J86</f>
        <v>261.47874514666671</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6570.3127451466671</v>
      </c>
      <c r="J163" s="34"/>
      <c r="K163" s="33"/>
      <c r="L163" s="33"/>
    </row>
    <row r="164" spans="1:12" ht="15" customHeight="1" x14ac:dyDescent="0.35">
      <c r="A164" s="53" t="s">
        <v>39</v>
      </c>
      <c r="B164" s="149" t="s">
        <v>104</v>
      </c>
      <c r="C164" s="149"/>
      <c r="D164" s="149"/>
      <c r="E164" s="149"/>
      <c r="F164" s="149"/>
      <c r="G164" s="149"/>
      <c r="H164" s="149"/>
      <c r="I164" s="75">
        <f>I146</f>
        <v>2238.3399999999997</v>
      </c>
      <c r="J164" s="34"/>
      <c r="K164" s="33"/>
      <c r="L164" s="33"/>
    </row>
    <row r="165" spans="1:12" ht="15" customHeight="1" x14ac:dyDescent="0.35">
      <c r="A165" s="199" t="s">
        <v>105</v>
      </c>
      <c r="B165" s="199"/>
      <c r="C165" s="199"/>
      <c r="D165" s="199"/>
      <c r="E165" s="199"/>
      <c r="F165" s="199"/>
      <c r="G165" s="199"/>
      <c r="H165" s="199"/>
      <c r="I165" s="88">
        <f>SUM(I163:I164)</f>
        <v>8808.6527451466663</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1">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B902-8792-46F6-97A8-56CE4A4DC8DF}">
  <dimension ref="A1:IV167"/>
  <sheetViews>
    <sheetView topLeftCell="A142"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ht="14.5" customHeight="1" x14ac:dyDescent="0.35">
      <c r="A6" s="136" t="s">
        <v>174</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x14ac:dyDescent="0.35">
      <c r="A15" s="45" t="s">
        <v>17</v>
      </c>
      <c r="B15" s="155" t="s">
        <v>147</v>
      </c>
      <c r="C15" s="156"/>
      <c r="D15" s="156"/>
      <c r="E15" s="156"/>
      <c r="F15" s="157"/>
      <c r="G15" s="158" t="s">
        <v>187</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45413</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190</v>
      </c>
      <c r="C22" s="166"/>
      <c r="D22" s="166"/>
      <c r="E22" s="166"/>
      <c r="F22" s="166"/>
      <c r="G22" s="166"/>
      <c r="H22" s="166"/>
      <c r="I22" s="62">
        <v>3042.6</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912.78</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3955.38</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329.48</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109.96</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439.44</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878.96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109.87</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131.84</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65.92</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43.95</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26.37</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8.7899999999999991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1265.7</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351.59</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1617.29</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183</v>
      </c>
      <c r="C54" s="166"/>
      <c r="D54" s="166"/>
      <c r="E54" s="166"/>
      <c r="F54" s="166"/>
      <c r="G54" s="166"/>
      <c r="H54" s="166"/>
      <c r="I54" s="76">
        <f>(4.65*2*21.25)-(I22/100)*6</f>
        <v>15.069000000000045</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x14ac:dyDescent="0.35">
      <c r="A55" s="23"/>
      <c r="B55" s="172" t="s">
        <v>45</v>
      </c>
      <c r="C55" s="172"/>
      <c r="D55" s="172"/>
      <c r="E55" s="172"/>
      <c r="F55" s="172"/>
      <c r="G55" s="172"/>
      <c r="H55" s="79">
        <v>4.6500000000000004</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f>H60*99%</f>
        <v>281.65499999999997</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31.5" customHeight="1" x14ac:dyDescent="0.35">
      <c r="A60" s="23"/>
      <c r="B60" s="172" t="s">
        <v>197</v>
      </c>
      <c r="C60" s="172"/>
      <c r="D60" s="172"/>
      <c r="E60" s="172"/>
      <c r="F60" s="172"/>
      <c r="G60" s="172"/>
      <c r="H60" s="79">
        <v>284.5</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0.01</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296.72400000000005</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439.44</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1617.29</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296.72400000000005</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2353.4540000000002</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5"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16.48075</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1.3290076799999999</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136.06507200000001</v>
      </c>
      <c r="K82" s="114"/>
      <c r="L82" s="116"/>
    </row>
    <row r="83" spans="1:256" ht="31.75" customHeight="1" x14ac:dyDescent="0.35">
      <c r="A83" s="23" t="s">
        <v>36</v>
      </c>
      <c r="B83" s="166" t="s">
        <v>203</v>
      </c>
      <c r="C83" s="166"/>
      <c r="D83" s="166"/>
      <c r="E83" s="166"/>
      <c r="F83" s="166"/>
      <c r="G83" s="166"/>
      <c r="H83" s="166"/>
      <c r="I83" s="118">
        <f>(7/30)/12*100%</f>
        <v>1.9444444444444445E-2</v>
      </c>
      <c r="J83" s="73">
        <f>I24*I83</f>
        <v>76.910166666666669</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28.238248896000002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2.4554999040000003</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261.47874514666671</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3955.38</v>
      </c>
      <c r="C93" s="27"/>
      <c r="D93" s="27" t="s">
        <v>160</v>
      </c>
      <c r="E93" s="82">
        <f>I75-I54-I59</f>
        <v>2056.7300000000005</v>
      </c>
      <c r="F93" s="26"/>
      <c r="G93" s="27" t="s">
        <v>63</v>
      </c>
      <c r="H93" s="82">
        <f>J86</f>
        <v>261.47874514666671</v>
      </c>
      <c r="I93" s="75">
        <f>B93+E93+H93</f>
        <v>6273.588745146667</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329.61500000000001</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54.935833333333335</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0.82403749999999998</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2.9335735000000001</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11.6012877552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10.987166666666667</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410.89689875520003</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6570.3127451466671</v>
      </c>
      <c r="J132" s="34"/>
      <c r="K132" s="33"/>
      <c r="L132" s="33"/>
    </row>
    <row r="133" spans="1:256" ht="15.75" customHeight="1" x14ac:dyDescent="0.35">
      <c r="A133" s="23" t="s">
        <v>16</v>
      </c>
      <c r="B133" s="161" t="s">
        <v>6</v>
      </c>
      <c r="C133" s="161"/>
      <c r="D133" s="161"/>
      <c r="E133" s="161"/>
      <c r="F133" s="161"/>
      <c r="G133" s="161"/>
      <c r="H133" s="48">
        <v>5.21E-2</v>
      </c>
      <c r="I133" s="73">
        <f>ROUND(H133*I132,2)</f>
        <v>342.31</v>
      </c>
      <c r="J133" s="34"/>
      <c r="K133" s="33"/>
      <c r="L133" s="33"/>
    </row>
    <row r="134" spans="1:256" ht="59.25" customHeight="1" x14ac:dyDescent="0.35">
      <c r="A134" s="191" t="s">
        <v>84</v>
      </c>
      <c r="B134" s="191"/>
      <c r="C134" s="191"/>
      <c r="D134" s="191"/>
      <c r="E134" s="191"/>
      <c r="F134" s="191"/>
      <c r="G134" s="191"/>
      <c r="H134" s="51" t="s">
        <v>46</v>
      </c>
      <c r="I134" s="87">
        <f>I132+I133</f>
        <v>6912.6227451466675</v>
      </c>
      <c r="J134" s="34"/>
      <c r="K134" s="33"/>
      <c r="L134" s="33"/>
    </row>
    <row r="135" spans="1:256" ht="15.75" customHeight="1" x14ac:dyDescent="0.35">
      <c r="A135" s="23" t="s">
        <v>17</v>
      </c>
      <c r="B135" s="161" t="s">
        <v>8</v>
      </c>
      <c r="C135" s="161"/>
      <c r="D135" s="161"/>
      <c r="E135" s="161"/>
      <c r="F135" s="161"/>
      <c r="G135" s="161"/>
      <c r="H135" s="48">
        <v>9.2700000000000005E-2</v>
      </c>
      <c r="I135" s="73">
        <f>ROUND(H135*I134,2)</f>
        <v>640.79999999999995</v>
      </c>
      <c r="J135" s="34"/>
      <c r="K135" s="33"/>
      <c r="L135" s="33"/>
    </row>
    <row r="136" spans="1:256" ht="55.5" customHeight="1" x14ac:dyDescent="0.35">
      <c r="A136" s="191" t="s">
        <v>85</v>
      </c>
      <c r="B136" s="191"/>
      <c r="C136" s="191"/>
      <c r="D136" s="191"/>
      <c r="E136" s="191"/>
      <c r="F136" s="191"/>
      <c r="G136" s="191"/>
      <c r="H136" s="51" t="s">
        <v>46</v>
      </c>
      <c r="I136" s="87">
        <f>SUM(I132+I133+I135)</f>
        <v>7553.4227451466677</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669.46</v>
      </c>
      <c r="J139" s="89" t="s">
        <v>166</v>
      </c>
      <c r="K139" s="33"/>
      <c r="L139" s="33"/>
    </row>
    <row r="140" spans="1:256" x14ac:dyDescent="0.35">
      <c r="A140" s="23"/>
      <c r="B140" s="195" t="s">
        <v>88</v>
      </c>
      <c r="C140" s="195"/>
      <c r="D140" s="195"/>
      <c r="E140" s="195"/>
      <c r="F140" s="195"/>
      <c r="G140" s="195"/>
      <c r="H140" s="52">
        <v>1.6500000000000001E-2</v>
      </c>
      <c r="I140" s="73">
        <f>ROUND(($I$136/(1-$H$149))*H140,2)</f>
        <v>145.34</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440.43</v>
      </c>
      <c r="J145" s="34"/>
      <c r="K145" s="33"/>
      <c r="L145" s="33"/>
    </row>
    <row r="146" spans="1:12" ht="15.75" customHeight="1" x14ac:dyDescent="0.35">
      <c r="A146" s="164" t="s">
        <v>1</v>
      </c>
      <c r="B146" s="164"/>
      <c r="C146" s="164"/>
      <c r="D146" s="164"/>
      <c r="E146" s="164"/>
      <c r="F146" s="164"/>
      <c r="G146" s="164"/>
      <c r="H146" s="164"/>
      <c r="I146" s="74">
        <f>SUM(I133+I135+I139+I140+I145)</f>
        <v>2238.3399999999997</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1255.23</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3955.38</v>
      </c>
      <c r="J158" s="34"/>
      <c r="K158" s="33"/>
      <c r="L158" s="33"/>
    </row>
    <row r="159" spans="1:12" ht="15" customHeight="1" x14ac:dyDescent="0.35">
      <c r="A159" s="53" t="s">
        <v>17</v>
      </c>
      <c r="B159" s="166" t="s">
        <v>19</v>
      </c>
      <c r="C159" s="166"/>
      <c r="D159" s="166"/>
      <c r="E159" s="166"/>
      <c r="F159" s="166"/>
      <c r="G159" s="166"/>
      <c r="H159" s="166"/>
      <c r="I159" s="75">
        <f>I75</f>
        <v>2353.4540000000002</v>
      </c>
      <c r="J159" s="34"/>
      <c r="K159" s="33"/>
      <c r="L159" s="33"/>
    </row>
    <row r="160" spans="1:12" ht="15" customHeight="1" x14ac:dyDescent="0.35">
      <c r="A160" s="53" t="s">
        <v>33</v>
      </c>
      <c r="B160" s="166" t="s">
        <v>100</v>
      </c>
      <c r="C160" s="166"/>
      <c r="D160" s="166"/>
      <c r="E160" s="166"/>
      <c r="F160" s="166"/>
      <c r="G160" s="166"/>
      <c r="H160" s="166"/>
      <c r="I160" s="75">
        <f>J86</f>
        <v>261.47874514666671</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6570.3127451466671</v>
      </c>
      <c r="J163" s="34"/>
      <c r="K163" s="33"/>
      <c r="L163" s="33"/>
    </row>
    <row r="164" spans="1:12" ht="15" customHeight="1" x14ac:dyDescent="0.35">
      <c r="A164" s="53" t="s">
        <v>39</v>
      </c>
      <c r="B164" s="149" t="s">
        <v>104</v>
      </c>
      <c r="C164" s="149"/>
      <c r="D164" s="149"/>
      <c r="E164" s="149"/>
      <c r="F164" s="149"/>
      <c r="G164" s="149"/>
      <c r="H164" s="149"/>
      <c r="I164" s="75">
        <f>I146</f>
        <v>2238.3399999999997</v>
      </c>
      <c r="J164" s="34"/>
      <c r="K164" s="33"/>
      <c r="L164" s="33"/>
    </row>
    <row r="165" spans="1:12" ht="15" customHeight="1" x14ac:dyDescent="0.35">
      <c r="A165" s="199" t="s">
        <v>105</v>
      </c>
      <c r="B165" s="199"/>
      <c r="C165" s="199"/>
      <c r="D165" s="199"/>
      <c r="E165" s="199"/>
      <c r="F165" s="199"/>
      <c r="G165" s="199"/>
      <c r="H165" s="199"/>
      <c r="I165" s="88">
        <f>SUM(I163:I164)</f>
        <v>8808.6527451466663</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10F6-E90A-4E5A-9C9F-72726F8A9212}">
  <sheetPr codeName="Planilha45"/>
  <dimension ref="A1:IV167"/>
  <sheetViews>
    <sheetView topLeftCell="A142"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175</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ht="30" customHeight="1" x14ac:dyDescent="0.35">
      <c r="A15" s="45" t="s">
        <v>17</v>
      </c>
      <c r="B15" s="155" t="s">
        <v>147</v>
      </c>
      <c r="C15" s="156"/>
      <c r="D15" s="156"/>
      <c r="E15" s="156"/>
      <c r="F15" s="157"/>
      <c r="G15" s="158" t="s">
        <v>148</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45627</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153</v>
      </c>
      <c r="C22" s="166"/>
      <c r="D22" s="166"/>
      <c r="E22" s="166"/>
      <c r="F22" s="166"/>
      <c r="G22" s="166"/>
      <c r="H22" s="166"/>
      <c r="I22" s="62">
        <v>2427.48</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728.24</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3155.7200000000003</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262.87</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87.73</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350.6</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701.26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87.66</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105.19</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52.59</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35.06</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21.04</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7.01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1009.81</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280.51</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1290.32</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157</v>
      </c>
      <c r="C54" s="166"/>
      <c r="D54" s="166"/>
      <c r="E54" s="166"/>
      <c r="F54" s="166"/>
      <c r="G54" s="166"/>
      <c r="H54" s="166"/>
      <c r="I54" s="76">
        <v>0</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x14ac:dyDescent="0.35">
      <c r="A55" s="23"/>
      <c r="B55" s="172" t="s">
        <v>45</v>
      </c>
      <c r="C55" s="172"/>
      <c r="D55" s="172"/>
      <c r="E55" s="172"/>
      <c r="F55" s="172"/>
      <c r="G55" s="172"/>
      <c r="H55" s="79">
        <v>3</v>
      </c>
      <c r="I55" s="49"/>
      <c r="J55" s="9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0</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0</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350.6</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1290.32</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0</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1640.92</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5"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13.148833333333334</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1.06032192</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108.55676800000001</v>
      </c>
      <c r="K82" s="114"/>
      <c r="L82" s="116"/>
    </row>
    <row r="83" spans="1:256" ht="31.75" customHeight="1" x14ac:dyDescent="0.35">
      <c r="A83" s="23" t="s">
        <v>36</v>
      </c>
      <c r="B83" s="166" t="s">
        <v>203</v>
      </c>
      <c r="C83" s="166"/>
      <c r="D83" s="166"/>
      <c r="E83" s="166"/>
      <c r="F83" s="166"/>
      <c r="G83" s="166"/>
      <c r="H83" s="166"/>
      <c r="I83" s="118">
        <f>(7/30)/12*100%</f>
        <v>1.9444444444444445E-2</v>
      </c>
      <c r="J83" s="73">
        <f>I24*I83</f>
        <v>61.361222222222231</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22.529316224000002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1.9590709760000002</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208.61553267555558</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3155.7200000000003</v>
      </c>
      <c r="C93" s="27"/>
      <c r="D93" s="27" t="s">
        <v>160</v>
      </c>
      <c r="E93" s="82">
        <f>I75-I54-I59</f>
        <v>1640.92</v>
      </c>
      <c r="F93" s="26"/>
      <c r="G93" s="27" t="s">
        <v>63</v>
      </c>
      <c r="H93" s="82">
        <f>J86</f>
        <v>208.61553267555558</v>
      </c>
      <c r="I93" s="75">
        <f>B93+E93+H93</f>
        <v>5005.2555326755555</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262.97666666666669</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43.829444444444448</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0.6574416666666667</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2.3404923333333332</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9.2558529887999992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8.76588888888889</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327.82578698879996</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5005.2555326755555</v>
      </c>
      <c r="J132" s="34"/>
      <c r="K132" s="33"/>
      <c r="L132" s="33"/>
    </row>
    <row r="133" spans="1:256" ht="15.75" customHeight="1" x14ac:dyDescent="0.35">
      <c r="A133" s="23" t="s">
        <v>16</v>
      </c>
      <c r="B133" s="161" t="s">
        <v>6</v>
      </c>
      <c r="C133" s="161"/>
      <c r="D133" s="161"/>
      <c r="E133" s="161"/>
      <c r="F133" s="161"/>
      <c r="G133" s="161"/>
      <c r="H133" s="48">
        <v>5.21E-2</v>
      </c>
      <c r="I133" s="73">
        <f>ROUND(H133*I132,2)</f>
        <v>260.77</v>
      </c>
      <c r="J133" s="34"/>
      <c r="K133" s="33"/>
      <c r="L133" s="33"/>
    </row>
    <row r="134" spans="1:256" ht="59.25" customHeight="1" x14ac:dyDescent="0.35">
      <c r="A134" s="191" t="s">
        <v>84</v>
      </c>
      <c r="B134" s="191"/>
      <c r="C134" s="191"/>
      <c r="D134" s="191"/>
      <c r="E134" s="191"/>
      <c r="F134" s="191"/>
      <c r="G134" s="191"/>
      <c r="H134" s="51" t="s">
        <v>46</v>
      </c>
      <c r="I134" s="87">
        <f>I132+I133</f>
        <v>5266.025532675556</v>
      </c>
      <c r="J134" s="34"/>
      <c r="K134" s="33"/>
      <c r="L134" s="33"/>
    </row>
    <row r="135" spans="1:256" ht="15.75" customHeight="1" x14ac:dyDescent="0.35">
      <c r="A135" s="23" t="s">
        <v>17</v>
      </c>
      <c r="B135" s="161" t="s">
        <v>8</v>
      </c>
      <c r="C135" s="161"/>
      <c r="D135" s="161"/>
      <c r="E135" s="161"/>
      <c r="F135" s="161"/>
      <c r="G135" s="161"/>
      <c r="H135" s="48">
        <v>9.2700000000000005E-2</v>
      </c>
      <c r="I135" s="73">
        <f>ROUND(H135*I134,2)</f>
        <v>488.16</v>
      </c>
      <c r="J135" s="34"/>
      <c r="K135" s="33"/>
      <c r="L135" s="33"/>
    </row>
    <row r="136" spans="1:256" ht="55.5" customHeight="1" x14ac:dyDescent="0.35">
      <c r="A136" s="191" t="s">
        <v>85</v>
      </c>
      <c r="B136" s="191"/>
      <c r="C136" s="191"/>
      <c r="D136" s="191"/>
      <c r="E136" s="191"/>
      <c r="F136" s="191"/>
      <c r="G136" s="191"/>
      <c r="H136" s="51" t="s">
        <v>46</v>
      </c>
      <c r="I136" s="87">
        <f>SUM(I132+I133+I135)</f>
        <v>5754.1855326755558</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509.99</v>
      </c>
      <c r="J139" s="89" t="s">
        <v>166</v>
      </c>
      <c r="K139" s="33"/>
      <c r="L139" s="33"/>
    </row>
    <row r="140" spans="1:256" x14ac:dyDescent="0.35">
      <c r="A140" s="23"/>
      <c r="B140" s="195" t="s">
        <v>88</v>
      </c>
      <c r="C140" s="195"/>
      <c r="D140" s="195"/>
      <c r="E140" s="195"/>
      <c r="F140" s="195"/>
      <c r="G140" s="195"/>
      <c r="H140" s="52">
        <v>1.6500000000000001E-2</v>
      </c>
      <c r="I140" s="73">
        <f>ROUND(($I$136/(1-$H$149))*H140,2)</f>
        <v>110.72</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335.52</v>
      </c>
      <c r="J145" s="34"/>
      <c r="K145" s="33"/>
      <c r="L145" s="33"/>
    </row>
    <row r="146" spans="1:12" ht="15.75" customHeight="1" x14ac:dyDescent="0.35">
      <c r="A146" s="164" t="s">
        <v>1</v>
      </c>
      <c r="B146" s="164"/>
      <c r="C146" s="164"/>
      <c r="D146" s="164"/>
      <c r="E146" s="164"/>
      <c r="F146" s="164"/>
      <c r="G146" s="164"/>
      <c r="H146" s="164"/>
      <c r="I146" s="74">
        <f>SUM(I133+I135+I139+I140+I145)</f>
        <v>1705.16</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956.23</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3155.7200000000003</v>
      </c>
      <c r="J158" s="34"/>
      <c r="K158" s="33"/>
      <c r="L158" s="33"/>
    </row>
    <row r="159" spans="1:12" ht="15" customHeight="1" x14ac:dyDescent="0.35">
      <c r="A159" s="53" t="s">
        <v>17</v>
      </c>
      <c r="B159" s="166" t="s">
        <v>19</v>
      </c>
      <c r="C159" s="166"/>
      <c r="D159" s="166"/>
      <c r="E159" s="166"/>
      <c r="F159" s="166"/>
      <c r="G159" s="166"/>
      <c r="H159" s="166"/>
      <c r="I159" s="75">
        <f>I75</f>
        <v>1640.92</v>
      </c>
      <c r="J159" s="34"/>
      <c r="K159" s="33"/>
      <c r="L159" s="33"/>
    </row>
    <row r="160" spans="1:12" ht="15" customHeight="1" x14ac:dyDescent="0.35">
      <c r="A160" s="53" t="s">
        <v>33</v>
      </c>
      <c r="B160" s="166" t="s">
        <v>100</v>
      </c>
      <c r="C160" s="166"/>
      <c r="D160" s="166"/>
      <c r="E160" s="166"/>
      <c r="F160" s="166"/>
      <c r="G160" s="166"/>
      <c r="H160" s="166"/>
      <c r="I160" s="75">
        <f>J86</f>
        <v>208.61553267555558</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5005.2555326755555</v>
      </c>
      <c r="J163" s="34"/>
      <c r="K163" s="33"/>
      <c r="L163" s="33"/>
    </row>
    <row r="164" spans="1:12" ht="15" customHeight="1" x14ac:dyDescent="0.35">
      <c r="A164" s="53" t="s">
        <v>39</v>
      </c>
      <c r="B164" s="149" t="s">
        <v>104</v>
      </c>
      <c r="C164" s="149"/>
      <c r="D164" s="149"/>
      <c r="E164" s="149"/>
      <c r="F164" s="149"/>
      <c r="G164" s="149"/>
      <c r="H164" s="149"/>
      <c r="I164" s="75">
        <f>I146</f>
        <v>1705.16</v>
      </c>
      <c r="J164" s="34"/>
      <c r="K164" s="33"/>
      <c r="L164" s="33"/>
    </row>
    <row r="165" spans="1:12" ht="15" customHeight="1" x14ac:dyDescent="0.35">
      <c r="A165" s="199" t="s">
        <v>105</v>
      </c>
      <c r="B165" s="199"/>
      <c r="C165" s="199"/>
      <c r="D165" s="199"/>
      <c r="E165" s="199"/>
      <c r="F165" s="199"/>
      <c r="G165" s="199"/>
      <c r="H165" s="199"/>
      <c r="I165" s="88">
        <f>SUM(I163:I164)</f>
        <v>6710.4155326755554</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A165:H165"/>
    <mergeCell ref="B159:H159"/>
    <mergeCell ref="B160:H160"/>
    <mergeCell ref="B161:H161"/>
    <mergeCell ref="B162:H162"/>
    <mergeCell ref="A163:H163"/>
    <mergeCell ref="B164:H164"/>
    <mergeCell ref="A153:I153"/>
    <mergeCell ref="A154:I154"/>
    <mergeCell ref="A156:I156"/>
    <mergeCell ref="A157:H157"/>
    <mergeCell ref="B158:H158"/>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44:G144"/>
    <mergeCell ref="B145:G145"/>
    <mergeCell ref="A146:H146"/>
    <mergeCell ref="A149:G149"/>
    <mergeCell ref="A150:B152"/>
    <mergeCell ref="C150:I150"/>
    <mergeCell ref="B104:H104"/>
    <mergeCell ref="B125:H125"/>
    <mergeCell ref="A126:H126"/>
    <mergeCell ref="A127:I127"/>
    <mergeCell ref="A130:I130"/>
    <mergeCell ref="B131:G131"/>
    <mergeCell ref="A118:I118"/>
    <mergeCell ref="A120:I120"/>
    <mergeCell ref="B121:H121"/>
    <mergeCell ref="B122:H122"/>
    <mergeCell ref="B123:H123"/>
    <mergeCell ref="B124:H124"/>
    <mergeCell ref="A113:I113"/>
    <mergeCell ref="B114:H114"/>
    <mergeCell ref="B115:H115"/>
    <mergeCell ref="B116:H116"/>
    <mergeCell ref="A117:H117"/>
    <mergeCell ref="A107:I107"/>
    <mergeCell ref="B108:H108"/>
    <mergeCell ref="B109:H109"/>
    <mergeCell ref="A110:H110"/>
    <mergeCell ref="B98:H98"/>
    <mergeCell ref="B99:H99"/>
    <mergeCell ref="B100:H100"/>
    <mergeCell ref="B101:H101"/>
    <mergeCell ref="B102:H102"/>
    <mergeCell ref="B103:H103"/>
    <mergeCell ref="A90:I90"/>
    <mergeCell ref="A91:I91"/>
    <mergeCell ref="A92:I92"/>
    <mergeCell ref="A94:I94"/>
    <mergeCell ref="B97:H97"/>
    <mergeCell ref="A96:J96"/>
    <mergeCell ref="B82:H82"/>
    <mergeCell ref="B83:H83"/>
    <mergeCell ref="A87:I87"/>
    <mergeCell ref="A89:I89"/>
    <mergeCell ref="A75:H75"/>
    <mergeCell ref="A76:I76"/>
    <mergeCell ref="B79:H79"/>
    <mergeCell ref="B80:H80"/>
    <mergeCell ref="B81:H81"/>
    <mergeCell ref="A78:J78"/>
    <mergeCell ref="B84:H84"/>
    <mergeCell ref="B85:H85"/>
    <mergeCell ref="B86:H86"/>
    <mergeCell ref="A68:I68"/>
    <mergeCell ref="A70:I70"/>
    <mergeCell ref="B71:H71"/>
    <mergeCell ref="B72:H72"/>
    <mergeCell ref="B73:H73"/>
    <mergeCell ref="B74:H74"/>
    <mergeCell ref="B62:G62"/>
    <mergeCell ref="B63:H63"/>
    <mergeCell ref="B64:H64"/>
    <mergeCell ref="B65:H65"/>
    <mergeCell ref="B66:H66"/>
    <mergeCell ref="A67:I67"/>
    <mergeCell ref="B56:G56"/>
    <mergeCell ref="B57:G57"/>
    <mergeCell ref="B58:G58"/>
    <mergeCell ref="B59:H59"/>
    <mergeCell ref="B60:G60"/>
    <mergeCell ref="B61:G61"/>
    <mergeCell ref="A49:I49"/>
    <mergeCell ref="A52:I52"/>
    <mergeCell ref="B53:H53"/>
    <mergeCell ref="B54:H54"/>
    <mergeCell ref="B55:G55"/>
    <mergeCell ref="B43:G43"/>
    <mergeCell ref="B44:G44"/>
    <mergeCell ref="B45:G45"/>
    <mergeCell ref="B47:G47"/>
    <mergeCell ref="A48:G48"/>
    <mergeCell ref="A37:I37"/>
    <mergeCell ref="B38:G38"/>
    <mergeCell ref="B39:G39"/>
    <mergeCell ref="B40:G40"/>
    <mergeCell ref="B41:C41"/>
    <mergeCell ref="A46:G46"/>
    <mergeCell ref="B32:G32"/>
    <mergeCell ref="A33:H33"/>
    <mergeCell ref="A34:I34"/>
    <mergeCell ref="B22:H22"/>
    <mergeCell ref="B23:G23"/>
    <mergeCell ref="A24:H24"/>
    <mergeCell ref="A25:I25"/>
    <mergeCell ref="A28:I28"/>
    <mergeCell ref="B42:G42"/>
    <mergeCell ref="B31:G31"/>
    <mergeCell ref="A3:I3"/>
    <mergeCell ref="A4:I4"/>
    <mergeCell ref="A5:I5"/>
    <mergeCell ref="A6:I6"/>
    <mergeCell ref="A20:I20"/>
    <mergeCell ref="B21:G21"/>
    <mergeCell ref="A29:I29"/>
    <mergeCell ref="B30:H30"/>
    <mergeCell ref="A13:I13"/>
    <mergeCell ref="G14:I14"/>
    <mergeCell ref="G15:I15"/>
    <mergeCell ref="G16:I16"/>
    <mergeCell ref="B14:F14"/>
    <mergeCell ref="A8:I8"/>
    <mergeCell ref="A9:I9"/>
    <mergeCell ref="A10:I10"/>
    <mergeCell ref="B17:F17"/>
    <mergeCell ref="B15:F15"/>
    <mergeCell ref="B16:F16"/>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E82D-F7A7-4BC6-89F2-E0FEB814CE41}">
  <dimension ref="A1:IV167"/>
  <sheetViews>
    <sheetView topLeftCell="A96" workbookViewId="0">
      <selection activeCell="A107" sqref="A107:XFD165"/>
    </sheetView>
  </sheetViews>
  <sheetFormatPr defaultColWidth="8.7265625" defaultRowHeight="14.5" x14ac:dyDescent="0.35"/>
  <cols>
    <col min="1" max="1" width="9" style="37" bestFit="1" customWidth="1"/>
    <col min="2" max="2" width="10.453125" style="37" bestFit="1" customWidth="1"/>
    <col min="3" max="3" width="13.26953125" style="37" customWidth="1"/>
    <col min="4" max="4" width="11.7265625" style="37" bestFit="1" customWidth="1"/>
    <col min="5" max="5" width="10.453125" style="37" bestFit="1" customWidth="1"/>
    <col min="6" max="6" width="22.90625" style="37" customWidth="1"/>
    <col min="7" max="7" width="9" style="37" bestFit="1" customWidth="1"/>
    <col min="8" max="8" width="14.7265625" style="37" bestFit="1" customWidth="1"/>
    <col min="9" max="9" width="15.54296875" style="38" customWidth="1"/>
    <col min="10" max="10" width="10.7265625" style="37" customWidth="1"/>
    <col min="11" max="11" width="7.453125" style="37" customWidth="1"/>
    <col min="12" max="12" width="6.54296875" style="37" customWidth="1"/>
    <col min="13" max="14" width="9.26953125" style="37" customWidth="1"/>
    <col min="15" max="256" width="9.1796875" style="37" customWidth="1"/>
    <col min="257" max="16384" width="8.7265625" style="33"/>
  </cols>
  <sheetData>
    <row r="1" spans="1:256" ht="50.25" customHeight="1" x14ac:dyDescent="0.35">
      <c r="A1" s="32"/>
      <c r="B1" s="33"/>
      <c r="C1" s="32"/>
      <c r="D1" s="32"/>
      <c r="E1" s="33"/>
      <c r="F1" s="33"/>
      <c r="G1" s="33"/>
    </row>
    <row r="2" spans="1:256" x14ac:dyDescent="0.35">
      <c r="A2" s="32"/>
      <c r="B2" s="32"/>
      <c r="C2" s="32"/>
      <c r="D2" s="32"/>
      <c r="E2" s="33"/>
      <c r="F2" s="33"/>
      <c r="G2" s="33"/>
    </row>
    <row r="3" spans="1:256" x14ac:dyDescent="0.35">
      <c r="A3" s="133" t="s">
        <v>0</v>
      </c>
      <c r="B3" s="133"/>
      <c r="C3" s="133"/>
      <c r="D3" s="133"/>
      <c r="E3" s="133"/>
      <c r="F3" s="133"/>
      <c r="G3" s="133"/>
      <c r="H3" s="133"/>
      <c r="I3" s="133"/>
    </row>
    <row r="4" spans="1:256" x14ac:dyDescent="0.35">
      <c r="A4" s="134" t="s">
        <v>10</v>
      </c>
      <c r="B4" s="134"/>
      <c r="C4" s="134"/>
      <c r="D4" s="134"/>
      <c r="E4" s="134"/>
      <c r="F4" s="134"/>
      <c r="G4" s="134"/>
      <c r="H4" s="134"/>
      <c r="I4" s="134"/>
    </row>
    <row r="5" spans="1:256" x14ac:dyDescent="0.35">
      <c r="A5" s="135" t="s">
        <v>11</v>
      </c>
      <c r="B5" s="135"/>
      <c r="C5" s="135"/>
      <c r="D5" s="135"/>
      <c r="E5" s="135"/>
      <c r="F5" s="135"/>
      <c r="G5" s="135"/>
      <c r="H5" s="135"/>
      <c r="I5" s="135"/>
      <c r="J5" s="39"/>
    </row>
    <row r="6" spans="1:256" x14ac:dyDescent="0.35">
      <c r="A6" s="136" t="s">
        <v>176</v>
      </c>
      <c r="B6" s="136"/>
      <c r="C6" s="136"/>
      <c r="D6" s="136"/>
      <c r="E6" s="136"/>
      <c r="F6" s="136"/>
      <c r="G6" s="136"/>
      <c r="H6" s="136"/>
      <c r="I6" s="136"/>
      <c r="J6" s="39"/>
    </row>
    <row r="7" spans="1:256" x14ac:dyDescent="0.35">
      <c r="A7" s="40"/>
      <c r="B7" s="40"/>
      <c r="C7" s="40"/>
      <c r="D7" s="40"/>
      <c r="E7" s="40"/>
      <c r="F7" s="40"/>
      <c r="G7" s="40"/>
      <c r="H7" s="41"/>
      <c r="I7" s="42"/>
    </row>
    <row r="8" spans="1:256" customFormat="1" ht="14.5" customHeight="1" x14ac:dyDescent="0.35">
      <c r="A8" s="137" t="s">
        <v>164</v>
      </c>
      <c r="B8" s="137"/>
      <c r="C8" s="137"/>
      <c r="D8" s="137"/>
      <c r="E8" s="137"/>
      <c r="F8" s="137"/>
      <c r="G8" s="137"/>
      <c r="H8" s="137"/>
      <c r="I8" s="137"/>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row>
    <row r="9" spans="1:256" customFormat="1" ht="14.5" customHeight="1" x14ac:dyDescent="0.35">
      <c r="A9" s="138" t="s">
        <v>165</v>
      </c>
      <c r="B9" s="138"/>
      <c r="C9" s="138"/>
      <c r="D9" s="138"/>
      <c r="E9" s="138"/>
      <c r="F9" s="138"/>
      <c r="G9" s="138"/>
      <c r="H9" s="138"/>
      <c r="I9" s="138"/>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row>
    <row r="10" spans="1:256" customFormat="1" ht="14.5" customHeight="1" x14ac:dyDescent="0.35">
      <c r="A10" s="149" t="s">
        <v>151</v>
      </c>
      <c r="B10" s="149"/>
      <c r="C10" s="149"/>
      <c r="D10" s="149"/>
      <c r="E10" s="149"/>
      <c r="F10" s="149"/>
      <c r="G10" s="149"/>
      <c r="H10" s="149"/>
      <c r="I10" s="14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row>
    <row r="11" spans="1:256" customFormat="1" x14ac:dyDescent="0.35">
      <c r="H11" s="43"/>
      <c r="I11" s="44"/>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row>
    <row r="12" spans="1:256" customFormat="1" x14ac:dyDescent="0.35">
      <c r="H12" s="43"/>
      <c r="I12" s="44"/>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row>
    <row r="13" spans="1:256" customFormat="1" ht="13" customHeight="1" x14ac:dyDescent="0.35">
      <c r="A13" s="151" t="s">
        <v>144</v>
      </c>
      <c r="B13" s="151"/>
      <c r="C13" s="151"/>
      <c r="D13" s="151"/>
      <c r="E13" s="151"/>
      <c r="F13" s="151"/>
      <c r="G13" s="151"/>
      <c r="H13" s="151"/>
      <c r="I13" s="151"/>
    </row>
    <row r="14" spans="1:256" customFormat="1" ht="14.5" customHeight="1" x14ac:dyDescent="0.35">
      <c r="A14" s="45" t="s">
        <v>16</v>
      </c>
      <c r="B14" s="139" t="s">
        <v>145</v>
      </c>
      <c r="C14" s="140"/>
      <c r="D14" s="140"/>
      <c r="E14" s="140"/>
      <c r="F14" s="141"/>
      <c r="G14" s="152" t="s">
        <v>146</v>
      </c>
      <c r="H14" s="153"/>
      <c r="I14" s="154"/>
    </row>
    <row r="15" spans="1:256" customFormat="1" ht="30" customHeight="1" x14ac:dyDescent="0.35">
      <c r="A15" s="45" t="s">
        <v>17</v>
      </c>
      <c r="B15" s="155" t="s">
        <v>147</v>
      </c>
      <c r="C15" s="156"/>
      <c r="D15" s="156"/>
      <c r="E15" s="156"/>
      <c r="F15" s="157"/>
      <c r="G15" s="158" t="s">
        <v>148</v>
      </c>
      <c r="H15" s="159"/>
      <c r="I15" s="160"/>
    </row>
    <row r="16" spans="1:256" customFormat="1" ht="14.5" customHeight="1" x14ac:dyDescent="0.35">
      <c r="A16" s="45" t="s">
        <v>33</v>
      </c>
      <c r="B16" s="139" t="s">
        <v>149</v>
      </c>
      <c r="C16" s="140"/>
      <c r="D16" s="140"/>
      <c r="E16" s="140"/>
      <c r="F16" s="141"/>
      <c r="G16" s="142">
        <v>24</v>
      </c>
      <c r="H16" s="143"/>
      <c r="I16" s="144"/>
    </row>
    <row r="17" spans="1:256" customFormat="1" ht="15" customHeight="1" x14ac:dyDescent="0.35">
      <c r="A17" s="45" t="s">
        <v>36</v>
      </c>
      <c r="B17" s="145" t="s">
        <v>150</v>
      </c>
      <c r="C17" s="145"/>
      <c r="D17" s="145"/>
      <c r="E17" s="145"/>
      <c r="F17" s="145"/>
      <c r="G17" s="146">
        <v>45627</v>
      </c>
      <c r="H17" s="147"/>
      <c r="I17" s="148"/>
    </row>
    <row r="18" spans="1:256" x14ac:dyDescent="0.35">
      <c r="A18"/>
      <c r="B18"/>
      <c r="C18"/>
      <c r="D18"/>
      <c r="E18"/>
      <c r="F18"/>
      <c r="G18"/>
      <c r="H18" s="43"/>
      <c r="I18" s="44"/>
      <c r="J18" s="39"/>
    </row>
    <row r="19" spans="1:256" x14ac:dyDescent="0.35">
      <c r="A19"/>
      <c r="B19"/>
      <c r="C19"/>
      <c r="D19"/>
      <c r="E19"/>
      <c r="F19"/>
      <c r="G19"/>
      <c r="H19" s="43"/>
      <c r="I19" s="44"/>
      <c r="J19" s="39"/>
    </row>
    <row r="20" spans="1:256" x14ac:dyDescent="0.35">
      <c r="A20" s="149" t="s">
        <v>12</v>
      </c>
      <c r="B20" s="149"/>
      <c r="C20" s="149"/>
      <c r="D20" s="149"/>
      <c r="E20" s="149"/>
      <c r="F20" s="149"/>
      <c r="G20" s="149"/>
      <c r="H20" s="149"/>
      <c r="I20" s="149"/>
      <c r="J20" s="34"/>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row>
    <row r="21" spans="1:256" s="47" customFormat="1" ht="30" customHeight="1" x14ac:dyDescent="0.35">
      <c r="A21" s="22">
        <v>1</v>
      </c>
      <c r="B21" s="150" t="s">
        <v>13</v>
      </c>
      <c r="C21" s="150"/>
      <c r="D21" s="150"/>
      <c r="E21" s="150"/>
      <c r="F21" s="150"/>
      <c r="G21" s="150"/>
      <c r="H21" s="22" t="s">
        <v>14</v>
      </c>
      <c r="I21" s="22" t="s">
        <v>15</v>
      </c>
      <c r="J21" s="46"/>
      <c r="K21" s="37"/>
      <c r="N21" s="37"/>
      <c r="O21" s="37"/>
      <c r="P21" s="37"/>
    </row>
    <row r="22" spans="1:256" x14ac:dyDescent="0.35">
      <c r="A22" s="24" t="s">
        <v>16</v>
      </c>
      <c r="B22" s="166" t="s">
        <v>153</v>
      </c>
      <c r="C22" s="166"/>
      <c r="D22" s="166"/>
      <c r="E22" s="166"/>
      <c r="F22" s="166"/>
      <c r="G22" s="166"/>
      <c r="H22" s="166"/>
      <c r="I22" s="62">
        <v>2427.48</v>
      </c>
      <c r="J22" s="34"/>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row>
    <row r="23" spans="1:256" ht="15.75" customHeight="1" x14ac:dyDescent="0.35">
      <c r="A23" s="24" t="s">
        <v>17</v>
      </c>
      <c r="B23" s="162" t="s">
        <v>154</v>
      </c>
      <c r="C23" s="162"/>
      <c r="D23" s="162"/>
      <c r="E23" s="162"/>
      <c r="F23" s="162"/>
      <c r="G23" s="162"/>
      <c r="H23" s="90">
        <v>0.3</v>
      </c>
      <c r="I23" s="73">
        <f>ROUND(H23*I22,2)</f>
        <v>728.24</v>
      </c>
      <c r="J23" s="34"/>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row>
    <row r="24" spans="1:256" ht="15.75" customHeight="1" x14ac:dyDescent="0.35">
      <c r="A24" s="150" t="s">
        <v>1</v>
      </c>
      <c r="B24" s="150"/>
      <c r="C24" s="150"/>
      <c r="D24" s="150"/>
      <c r="E24" s="150"/>
      <c r="F24" s="150"/>
      <c r="G24" s="150"/>
      <c r="H24" s="150"/>
      <c r="I24" s="74">
        <f>SUM(I22:I23)</f>
        <v>3155.7200000000003</v>
      </c>
      <c r="J24" s="34"/>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x14ac:dyDescent="0.35">
      <c r="A25" s="167" t="s">
        <v>18</v>
      </c>
      <c r="B25" s="167"/>
      <c r="C25" s="167"/>
      <c r="D25" s="167"/>
      <c r="E25" s="167"/>
      <c r="F25" s="167"/>
      <c r="G25" s="167"/>
      <c r="H25" s="167"/>
      <c r="I25" s="167"/>
      <c r="J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c r="IA25" s="33"/>
      <c r="IB25" s="33"/>
      <c r="IC25" s="33"/>
      <c r="ID25" s="33"/>
      <c r="IE25" s="33"/>
      <c r="IF25" s="33"/>
      <c r="IG25" s="33"/>
      <c r="IH25" s="33"/>
      <c r="II25" s="33"/>
      <c r="IJ25" s="33"/>
      <c r="IK25" s="33"/>
      <c r="IL25" s="33"/>
      <c r="IM25" s="33"/>
      <c r="IN25" s="33"/>
      <c r="IO25" s="33"/>
      <c r="IP25" s="33"/>
      <c r="IQ25" s="33"/>
      <c r="IR25" s="33"/>
      <c r="IS25" s="33"/>
      <c r="IT25" s="33"/>
      <c r="IU25" s="33"/>
      <c r="IV25" s="33"/>
    </row>
    <row r="26" spans="1:256" ht="14.5" customHeight="1" x14ac:dyDescent="0.35">
      <c r="A26" s="63"/>
      <c r="B26" s="63"/>
      <c r="C26" s="63"/>
      <c r="D26" s="63"/>
      <c r="E26" s="63"/>
      <c r="F26" s="63"/>
      <c r="G26" s="63"/>
      <c r="H26" s="63"/>
      <c r="I26" s="63"/>
      <c r="J26" s="34"/>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row>
    <row r="27" spans="1:256" ht="14.5" customHeight="1" x14ac:dyDescent="0.35">
      <c r="A27" s="63"/>
      <c r="B27" s="63"/>
      <c r="C27" s="63"/>
      <c r="D27" s="63"/>
      <c r="E27" s="63"/>
      <c r="F27" s="63"/>
      <c r="G27" s="63"/>
      <c r="H27" s="63"/>
      <c r="I27" s="63"/>
      <c r="J27" s="34"/>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row>
    <row r="28" spans="1:256" ht="21.75" customHeight="1" x14ac:dyDescent="0.35">
      <c r="A28" s="161" t="s">
        <v>19</v>
      </c>
      <c r="B28" s="161"/>
      <c r="C28" s="161"/>
      <c r="D28" s="161"/>
      <c r="E28" s="161"/>
      <c r="F28" s="161"/>
      <c r="G28" s="161"/>
      <c r="H28" s="161"/>
      <c r="I28" s="161"/>
      <c r="J28" s="34"/>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row>
    <row r="29" spans="1:256" x14ac:dyDescent="0.35">
      <c r="A29" s="164" t="s">
        <v>20</v>
      </c>
      <c r="B29" s="164"/>
      <c r="C29" s="164"/>
      <c r="D29" s="164"/>
      <c r="E29" s="164"/>
      <c r="F29" s="164"/>
      <c r="G29" s="164"/>
      <c r="H29" s="164"/>
      <c r="I29" s="164"/>
      <c r="J29" s="34"/>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row>
    <row r="30" spans="1:256" ht="26.15" customHeight="1" x14ac:dyDescent="0.35">
      <c r="A30" s="23" t="s">
        <v>21</v>
      </c>
      <c r="B30" s="161" t="s">
        <v>22</v>
      </c>
      <c r="C30" s="161"/>
      <c r="D30" s="161"/>
      <c r="E30" s="161"/>
      <c r="F30" s="161"/>
      <c r="G30" s="161"/>
      <c r="H30" s="161"/>
      <c r="I30" s="24" t="s">
        <v>23</v>
      </c>
      <c r="J30" s="34"/>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row>
    <row r="31" spans="1:256" ht="26.15" customHeight="1" x14ac:dyDescent="0.35">
      <c r="A31" s="23" t="s">
        <v>16</v>
      </c>
      <c r="B31" s="162" t="s">
        <v>24</v>
      </c>
      <c r="C31" s="162"/>
      <c r="D31" s="162"/>
      <c r="E31" s="162"/>
      <c r="F31" s="162"/>
      <c r="G31" s="162"/>
      <c r="H31" s="48">
        <v>8.3299999999999999E-2</v>
      </c>
      <c r="I31" s="75">
        <f>ROUND($I$24*H31,2)</f>
        <v>262.87</v>
      </c>
      <c r="J31" s="34"/>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row>
    <row r="32" spans="1:256" ht="29.25" customHeight="1" x14ac:dyDescent="0.35">
      <c r="A32" s="23" t="s">
        <v>17</v>
      </c>
      <c r="B32" s="163" t="s">
        <v>25</v>
      </c>
      <c r="C32" s="163"/>
      <c r="D32" s="163"/>
      <c r="E32" s="163"/>
      <c r="F32" s="163"/>
      <c r="G32" s="163"/>
      <c r="H32" s="48">
        <v>2.7799999999999998E-2</v>
      </c>
      <c r="I32" s="75">
        <f>ROUND($I$24*H32,2)</f>
        <v>87.73</v>
      </c>
      <c r="J32" s="34"/>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row>
    <row r="33" spans="1:256" x14ac:dyDescent="0.35">
      <c r="A33" s="164" t="s">
        <v>1</v>
      </c>
      <c r="B33" s="164"/>
      <c r="C33" s="164"/>
      <c r="D33" s="164"/>
      <c r="E33" s="164"/>
      <c r="F33" s="164"/>
      <c r="G33" s="164"/>
      <c r="H33" s="164"/>
      <c r="I33" s="74">
        <f>SUM(I31+I32)</f>
        <v>350.6</v>
      </c>
      <c r="J33" s="34"/>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row>
    <row r="34" spans="1:256" ht="41" customHeight="1" x14ac:dyDescent="0.35">
      <c r="A34" s="165" t="s">
        <v>26</v>
      </c>
      <c r="B34" s="165"/>
      <c r="C34" s="165"/>
      <c r="D34" s="165"/>
      <c r="E34" s="165"/>
      <c r="F34" s="165"/>
      <c r="G34" s="165"/>
      <c r="H34" s="165"/>
      <c r="I34" s="165"/>
      <c r="J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row>
    <row r="35" spans="1:256" ht="14.5" customHeight="1" x14ac:dyDescent="0.35">
      <c r="A35" s="64"/>
      <c r="B35" s="64"/>
      <c r="C35" s="64"/>
      <c r="D35" s="64"/>
      <c r="E35" s="64"/>
      <c r="F35" s="64"/>
      <c r="G35" s="64"/>
      <c r="H35" s="64"/>
      <c r="I35" s="64"/>
      <c r="J35" s="34"/>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row>
    <row r="36" spans="1:256" ht="17.5" customHeight="1" x14ac:dyDescent="0.35">
      <c r="A36" s="64"/>
      <c r="B36" s="64"/>
      <c r="C36" s="64"/>
      <c r="D36" s="64"/>
      <c r="E36" s="64"/>
      <c r="F36" s="64"/>
      <c r="G36" s="64"/>
      <c r="H36" s="64"/>
      <c r="I36" s="64"/>
      <c r="J36" s="34"/>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row>
    <row r="37" spans="1:256" s="37" customFormat="1" ht="32.25" customHeight="1" x14ac:dyDescent="0.35">
      <c r="A37" s="149" t="s">
        <v>158</v>
      </c>
      <c r="B37" s="149"/>
      <c r="C37" s="149"/>
      <c r="D37" s="149"/>
      <c r="E37" s="149"/>
      <c r="F37" s="149"/>
      <c r="G37" s="149"/>
      <c r="H37" s="149"/>
      <c r="I37" s="149"/>
      <c r="J37" s="39"/>
    </row>
    <row r="38" spans="1:256" ht="30" customHeight="1" x14ac:dyDescent="0.35">
      <c r="A38" s="25" t="s">
        <v>27</v>
      </c>
      <c r="B38" s="150" t="s">
        <v>28</v>
      </c>
      <c r="C38" s="150"/>
      <c r="D38" s="150"/>
      <c r="E38" s="150"/>
      <c r="F38" s="150"/>
      <c r="G38" s="150"/>
      <c r="H38" s="22" t="s">
        <v>29</v>
      </c>
      <c r="I38" s="22" t="s">
        <v>30</v>
      </c>
      <c r="J38" s="34"/>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row>
    <row r="39" spans="1:256" ht="15.75" customHeight="1" x14ac:dyDescent="0.35">
      <c r="A39" s="23" t="s">
        <v>16</v>
      </c>
      <c r="B39" s="166" t="s">
        <v>31</v>
      </c>
      <c r="C39" s="166"/>
      <c r="D39" s="166"/>
      <c r="E39" s="166"/>
      <c r="F39" s="166"/>
      <c r="G39" s="166"/>
      <c r="H39" s="48">
        <v>0.2</v>
      </c>
      <c r="I39" s="73">
        <f t="shared" ref="I39:I47" si="0">ROUND(($I$24+$I$33)*H39,2)</f>
        <v>701.26</v>
      </c>
      <c r="J39" s="34"/>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row>
    <row r="40" spans="1:256" ht="15.75" customHeight="1" x14ac:dyDescent="0.35">
      <c r="A40" s="23" t="s">
        <v>17</v>
      </c>
      <c r="B40" s="166" t="s">
        <v>32</v>
      </c>
      <c r="C40" s="166"/>
      <c r="D40" s="166"/>
      <c r="E40" s="166"/>
      <c r="F40" s="166"/>
      <c r="G40" s="166"/>
      <c r="H40" s="48">
        <v>2.5000000000000001E-2</v>
      </c>
      <c r="I40" s="73">
        <f t="shared" si="0"/>
        <v>87.66</v>
      </c>
      <c r="J40" s="34"/>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row>
    <row r="41" spans="1:256" ht="49.15" customHeight="1" x14ac:dyDescent="0.35">
      <c r="A41" s="23" t="s">
        <v>33</v>
      </c>
      <c r="B41" s="168" t="s">
        <v>155</v>
      </c>
      <c r="C41" s="168"/>
      <c r="D41" s="24" t="s">
        <v>34</v>
      </c>
      <c r="E41" s="65">
        <v>0.03</v>
      </c>
      <c r="F41" s="24" t="s">
        <v>35</v>
      </c>
      <c r="G41" s="66">
        <v>1</v>
      </c>
      <c r="H41" s="48">
        <f>ROUND((E41*G41),6)</f>
        <v>0.03</v>
      </c>
      <c r="I41" s="73">
        <f t="shared" si="0"/>
        <v>105.19</v>
      </c>
      <c r="J41" s="81" t="s">
        <v>167</v>
      </c>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row>
    <row r="42" spans="1:256" ht="15.75" customHeight="1" x14ac:dyDescent="0.35">
      <c r="A42" s="23" t="s">
        <v>36</v>
      </c>
      <c r="B42" s="166" t="s">
        <v>37</v>
      </c>
      <c r="C42" s="166"/>
      <c r="D42" s="166"/>
      <c r="E42" s="166"/>
      <c r="F42" s="166"/>
      <c r="G42" s="166"/>
      <c r="H42" s="48">
        <v>1.4999999999999999E-2</v>
      </c>
      <c r="I42" s="73">
        <f t="shared" si="0"/>
        <v>52.59</v>
      </c>
      <c r="J42" s="34"/>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c r="IV42" s="33"/>
    </row>
    <row r="43" spans="1:256" ht="15.75" customHeight="1" x14ac:dyDescent="0.35">
      <c r="A43" s="23" t="s">
        <v>9</v>
      </c>
      <c r="B43" s="166" t="s">
        <v>38</v>
      </c>
      <c r="C43" s="166"/>
      <c r="D43" s="166"/>
      <c r="E43" s="166"/>
      <c r="F43" s="166"/>
      <c r="G43" s="166"/>
      <c r="H43" s="48">
        <v>0.01</v>
      </c>
      <c r="I43" s="73">
        <f t="shared" si="0"/>
        <v>35.06</v>
      </c>
      <c r="J43" s="34"/>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c r="IV43" s="33"/>
    </row>
    <row r="44" spans="1:256" ht="15.75" customHeight="1" x14ac:dyDescent="0.35">
      <c r="A44" s="23" t="s">
        <v>39</v>
      </c>
      <c r="B44" s="166" t="s">
        <v>2</v>
      </c>
      <c r="C44" s="166"/>
      <c r="D44" s="166"/>
      <c r="E44" s="166"/>
      <c r="F44" s="166"/>
      <c r="G44" s="166"/>
      <c r="H44" s="48">
        <v>6.0000000000000001E-3</v>
      </c>
      <c r="I44" s="73">
        <f t="shared" si="0"/>
        <v>21.04</v>
      </c>
      <c r="J44" s="34"/>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c r="IV44" s="33"/>
    </row>
    <row r="45" spans="1:256" ht="20.5" customHeight="1" x14ac:dyDescent="0.35">
      <c r="A45" s="23" t="s">
        <v>40</v>
      </c>
      <c r="B45" s="166" t="s">
        <v>3</v>
      </c>
      <c r="C45" s="166"/>
      <c r="D45" s="166"/>
      <c r="E45" s="166"/>
      <c r="F45" s="166"/>
      <c r="G45" s="166"/>
      <c r="H45" s="48">
        <v>2E-3</v>
      </c>
      <c r="I45" s="73">
        <f t="shared" si="0"/>
        <v>7.01</v>
      </c>
      <c r="J45" s="34"/>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c r="IV45" s="33"/>
    </row>
    <row r="46" spans="1:256" ht="20.5" customHeight="1" x14ac:dyDescent="0.35">
      <c r="A46" s="169"/>
      <c r="B46" s="170"/>
      <c r="C46" s="170"/>
      <c r="D46" s="170"/>
      <c r="E46" s="170"/>
      <c r="F46" s="170"/>
      <c r="G46" s="171"/>
      <c r="H46" s="107">
        <f>SUM(H39:H45)</f>
        <v>0.28800000000000003</v>
      </c>
      <c r="I46" s="62">
        <f>SUM(I39:I45)</f>
        <v>1009.81</v>
      </c>
      <c r="J46" s="34"/>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c r="IV46" s="33"/>
    </row>
    <row r="47" spans="1:256" ht="15.75" customHeight="1" x14ac:dyDescent="0.35">
      <c r="A47" s="23" t="s">
        <v>41</v>
      </c>
      <c r="B47" s="166" t="s">
        <v>4</v>
      </c>
      <c r="C47" s="166"/>
      <c r="D47" s="166"/>
      <c r="E47" s="166"/>
      <c r="F47" s="166"/>
      <c r="G47" s="166"/>
      <c r="H47" s="48">
        <v>0.08</v>
      </c>
      <c r="I47" s="73">
        <f t="shared" si="0"/>
        <v>280.51</v>
      </c>
      <c r="J47" s="34"/>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c r="IV47" s="33"/>
    </row>
    <row r="48" spans="1:256" ht="15.75" customHeight="1" x14ac:dyDescent="0.35">
      <c r="A48" s="164" t="s">
        <v>1</v>
      </c>
      <c r="B48" s="164"/>
      <c r="C48" s="164"/>
      <c r="D48" s="164"/>
      <c r="E48" s="164"/>
      <c r="F48" s="164"/>
      <c r="G48" s="164"/>
      <c r="H48" s="115">
        <f>H46+H47</f>
        <v>0.36800000000000005</v>
      </c>
      <c r="I48" s="74">
        <f>I46+I47</f>
        <v>1290.32</v>
      </c>
      <c r="J48" s="34"/>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c r="IV48" s="33"/>
    </row>
    <row r="49" spans="1:256" ht="38" customHeight="1" x14ac:dyDescent="0.35">
      <c r="A49" s="165" t="s">
        <v>161</v>
      </c>
      <c r="B49" s="165"/>
      <c r="C49" s="165"/>
      <c r="D49" s="165"/>
      <c r="E49" s="165"/>
      <c r="F49" s="165"/>
      <c r="G49" s="165"/>
      <c r="H49" s="165"/>
      <c r="I49" s="16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c r="IV49" s="33"/>
    </row>
    <row r="50" spans="1:256" s="21" customFormat="1" ht="14.5" customHeight="1" x14ac:dyDescent="0.35">
      <c r="A50" s="68"/>
      <c r="B50" s="68"/>
      <c r="C50" s="68"/>
      <c r="D50" s="68"/>
      <c r="E50" s="68"/>
      <c r="F50" s="68"/>
      <c r="G50" s="68"/>
      <c r="H50" s="68"/>
      <c r="I50" s="68"/>
      <c r="J50" s="36"/>
    </row>
    <row r="51" spans="1:256" s="21" customFormat="1" ht="13" customHeight="1" x14ac:dyDescent="0.35">
      <c r="A51" s="68"/>
      <c r="B51" s="68"/>
      <c r="C51" s="68"/>
      <c r="D51" s="68"/>
      <c r="E51" s="68"/>
      <c r="F51" s="68"/>
      <c r="G51" s="68"/>
      <c r="H51" s="68"/>
      <c r="I51" s="68"/>
      <c r="J51" s="36"/>
    </row>
    <row r="52" spans="1:256" ht="18.649999999999999" customHeight="1" x14ac:dyDescent="0.35">
      <c r="A52" s="161" t="s">
        <v>42</v>
      </c>
      <c r="B52" s="161"/>
      <c r="C52" s="161"/>
      <c r="D52" s="161"/>
      <c r="E52" s="161"/>
      <c r="F52" s="161"/>
      <c r="G52" s="161"/>
      <c r="H52" s="161"/>
      <c r="I52" s="161"/>
      <c r="J52" s="34"/>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c r="IV52" s="33"/>
    </row>
    <row r="53" spans="1:256" ht="18.75" customHeight="1" x14ac:dyDescent="0.35">
      <c r="A53" s="25" t="s">
        <v>43</v>
      </c>
      <c r="B53" s="150" t="s">
        <v>44</v>
      </c>
      <c r="C53" s="150"/>
      <c r="D53" s="150"/>
      <c r="E53" s="150"/>
      <c r="F53" s="150"/>
      <c r="G53" s="150"/>
      <c r="H53" s="150"/>
      <c r="I53" s="22" t="s">
        <v>23</v>
      </c>
      <c r="J53" s="34"/>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c r="IV53" s="33"/>
    </row>
    <row r="54" spans="1:256" ht="15.75" customHeight="1" x14ac:dyDescent="0.35">
      <c r="A54" s="23" t="s">
        <v>16</v>
      </c>
      <c r="B54" s="166" t="s">
        <v>157</v>
      </c>
      <c r="C54" s="166"/>
      <c r="D54" s="166"/>
      <c r="E54" s="166"/>
      <c r="F54" s="166"/>
      <c r="G54" s="166"/>
      <c r="H54" s="166"/>
      <c r="I54" s="76">
        <v>0</v>
      </c>
      <c r="J54" s="69"/>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c r="IV54" s="33"/>
    </row>
    <row r="55" spans="1:256" ht="28.5" customHeight="1" x14ac:dyDescent="0.35">
      <c r="A55" s="23"/>
      <c r="B55" s="172" t="s">
        <v>45</v>
      </c>
      <c r="C55" s="172"/>
      <c r="D55" s="172"/>
      <c r="E55" s="172"/>
      <c r="F55" s="172"/>
      <c r="G55" s="172"/>
      <c r="H55" s="79">
        <v>3</v>
      </c>
      <c r="I55" s="49"/>
      <c r="J55" s="34"/>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c r="IV55" s="33"/>
    </row>
    <row r="56" spans="1:256" ht="17.25" customHeight="1" x14ac:dyDescent="0.35">
      <c r="A56" s="23"/>
      <c r="B56" s="172" t="s">
        <v>47</v>
      </c>
      <c r="C56" s="172"/>
      <c r="D56" s="172"/>
      <c r="E56" s="172"/>
      <c r="F56" s="172"/>
      <c r="G56" s="172"/>
      <c r="H56" s="76">
        <v>2</v>
      </c>
      <c r="I56" s="49"/>
      <c r="J56" s="34"/>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c r="IV56" s="33"/>
    </row>
    <row r="57" spans="1:256" ht="15.65" customHeight="1" x14ac:dyDescent="0.35">
      <c r="A57" s="23"/>
      <c r="B57" s="172" t="s">
        <v>48</v>
      </c>
      <c r="C57" s="172"/>
      <c r="D57" s="172"/>
      <c r="E57" s="172"/>
      <c r="F57" s="172"/>
      <c r="G57" s="172"/>
      <c r="H57" s="76">
        <v>21.25</v>
      </c>
      <c r="I57" s="49"/>
      <c r="J57" s="34"/>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c r="IV57" s="33"/>
    </row>
    <row r="58" spans="1:256" ht="15.65" customHeight="1" x14ac:dyDescent="0.35">
      <c r="A58" s="23"/>
      <c r="B58" s="173" t="s">
        <v>198</v>
      </c>
      <c r="C58" s="173"/>
      <c r="D58" s="173"/>
      <c r="E58" s="173"/>
      <c r="F58" s="173"/>
      <c r="G58" s="173"/>
      <c r="H58" s="78">
        <v>0.06</v>
      </c>
      <c r="I58" s="77"/>
      <c r="J58" s="34"/>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c r="IV58" s="33"/>
    </row>
    <row r="59" spans="1:256" ht="15.75" customHeight="1" x14ac:dyDescent="0.35">
      <c r="A59" s="23" t="s">
        <v>17</v>
      </c>
      <c r="B59" s="166" t="s">
        <v>156</v>
      </c>
      <c r="C59" s="166"/>
      <c r="D59" s="166"/>
      <c r="E59" s="166"/>
      <c r="F59" s="166"/>
      <c r="G59" s="166"/>
      <c r="H59" s="166"/>
      <c r="I59" s="49">
        <v>0</v>
      </c>
      <c r="J59" s="34"/>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c r="IV59" s="33"/>
    </row>
    <row r="60" spans="1:256" ht="15.75" customHeight="1" x14ac:dyDescent="0.35">
      <c r="A60" s="23"/>
      <c r="B60" s="172" t="s">
        <v>49</v>
      </c>
      <c r="C60" s="172"/>
      <c r="D60" s="172"/>
      <c r="E60" s="172"/>
      <c r="F60" s="172"/>
      <c r="G60" s="172"/>
      <c r="H60" s="79">
        <v>0</v>
      </c>
      <c r="I60" s="49" t="s">
        <v>46</v>
      </c>
      <c r="J60" s="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row>
    <row r="61" spans="1:256" ht="15.75" customHeight="1" x14ac:dyDescent="0.35">
      <c r="A61" s="50"/>
      <c r="B61" s="172" t="s">
        <v>50</v>
      </c>
      <c r="C61" s="172"/>
      <c r="D61" s="172"/>
      <c r="E61" s="172"/>
      <c r="F61" s="172"/>
      <c r="G61" s="172"/>
      <c r="H61" s="76">
        <v>21.25</v>
      </c>
      <c r="I61" s="49"/>
      <c r="J61" s="34"/>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row>
    <row r="62" spans="1:256" ht="15.75" customHeight="1" x14ac:dyDescent="0.35">
      <c r="A62" s="50"/>
      <c r="B62" s="172" t="s">
        <v>51</v>
      </c>
      <c r="C62" s="172"/>
      <c r="D62" s="172"/>
      <c r="E62" s="172"/>
      <c r="F62" s="172"/>
      <c r="G62" s="172"/>
      <c r="H62" s="51">
        <v>0</v>
      </c>
      <c r="I62" s="49"/>
      <c r="J62" s="34"/>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row>
    <row r="63" spans="1:256" ht="15.75" customHeight="1" x14ac:dyDescent="0.35">
      <c r="A63" s="23" t="s">
        <v>33</v>
      </c>
      <c r="B63" s="166" t="s">
        <v>52</v>
      </c>
      <c r="C63" s="166"/>
      <c r="D63" s="166"/>
      <c r="E63" s="166"/>
      <c r="F63" s="166"/>
      <c r="G63" s="166"/>
      <c r="H63" s="166"/>
      <c r="I63" s="61">
        <v>0</v>
      </c>
      <c r="J63" s="34"/>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c r="IV63" s="33"/>
    </row>
    <row r="64" spans="1:256" x14ac:dyDescent="0.35">
      <c r="A64" s="23" t="s">
        <v>36</v>
      </c>
      <c r="B64" s="166" t="s">
        <v>5</v>
      </c>
      <c r="C64" s="166"/>
      <c r="D64" s="166"/>
      <c r="E64" s="166"/>
      <c r="F64" s="166"/>
      <c r="G64" s="166"/>
      <c r="H64" s="166"/>
      <c r="I64" s="72">
        <v>0</v>
      </c>
      <c r="J64" s="34"/>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c r="IV64" s="33"/>
    </row>
    <row r="65" spans="1:256" ht="15.75" customHeight="1" x14ac:dyDescent="0.35">
      <c r="A65" s="23" t="s">
        <v>9</v>
      </c>
      <c r="B65" s="175" t="s">
        <v>53</v>
      </c>
      <c r="C65" s="175"/>
      <c r="D65" s="175"/>
      <c r="E65" s="175"/>
      <c r="F65" s="175"/>
      <c r="G65" s="175"/>
      <c r="H65" s="175"/>
      <c r="I65" s="72">
        <v>0</v>
      </c>
      <c r="J65" s="34"/>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row>
    <row r="66" spans="1:256" ht="15.75" customHeight="1" x14ac:dyDescent="0.35">
      <c r="A66" s="35"/>
      <c r="B66" s="164" t="s">
        <v>1</v>
      </c>
      <c r="C66" s="164"/>
      <c r="D66" s="164"/>
      <c r="E66" s="164"/>
      <c r="F66" s="164"/>
      <c r="G66" s="164"/>
      <c r="H66" s="164"/>
      <c r="I66" s="30">
        <f>SUM(I54:I65)</f>
        <v>0</v>
      </c>
      <c r="J66" s="34"/>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row>
    <row r="67" spans="1:256" ht="28" customHeight="1" x14ac:dyDescent="0.35">
      <c r="A67" s="176" t="s">
        <v>54</v>
      </c>
      <c r="B67" s="176"/>
      <c r="C67" s="176"/>
      <c r="D67" s="176"/>
      <c r="E67" s="176"/>
      <c r="F67" s="176"/>
      <c r="G67" s="176"/>
      <c r="H67" s="176"/>
      <c r="I67" s="176"/>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row>
    <row r="68" spans="1:256" ht="15" customHeight="1" x14ac:dyDescent="0.35">
      <c r="A68" s="177"/>
      <c r="B68" s="177"/>
      <c r="C68" s="177"/>
      <c r="D68" s="177"/>
      <c r="E68" s="177"/>
      <c r="F68" s="177"/>
      <c r="G68" s="177"/>
      <c r="H68" s="177"/>
      <c r="I68" s="177"/>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row>
    <row r="69" spans="1:256" ht="16" customHeight="1" x14ac:dyDescent="0.35">
      <c r="A69" s="70"/>
      <c r="B69" s="70"/>
      <c r="C69" s="70"/>
      <c r="D69" s="70"/>
      <c r="E69" s="70"/>
      <c r="F69" s="70"/>
      <c r="G69" s="70"/>
      <c r="H69" s="70"/>
      <c r="I69" s="70"/>
      <c r="J69" s="34"/>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row>
    <row r="70" spans="1:256" ht="18.5" customHeight="1" x14ac:dyDescent="0.35">
      <c r="A70" s="149" t="s">
        <v>163</v>
      </c>
      <c r="B70" s="149"/>
      <c r="C70" s="149"/>
      <c r="D70" s="149"/>
      <c r="E70" s="149"/>
      <c r="F70" s="149"/>
      <c r="G70" s="149"/>
      <c r="H70" s="149"/>
      <c r="I70" s="149"/>
      <c r="J70" s="34"/>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row>
    <row r="71" spans="1:256" x14ac:dyDescent="0.35">
      <c r="A71" s="22">
        <v>2</v>
      </c>
      <c r="B71" s="150" t="s">
        <v>55</v>
      </c>
      <c r="C71" s="150"/>
      <c r="D71" s="150"/>
      <c r="E71" s="150"/>
      <c r="F71" s="150"/>
      <c r="G71" s="150"/>
      <c r="H71" s="150"/>
      <c r="I71" s="22" t="s">
        <v>23</v>
      </c>
      <c r="J71" s="34"/>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row>
    <row r="72" spans="1:256" x14ac:dyDescent="0.35">
      <c r="A72" s="24" t="s">
        <v>21</v>
      </c>
      <c r="B72" s="166" t="s">
        <v>56</v>
      </c>
      <c r="C72" s="166"/>
      <c r="D72" s="166"/>
      <c r="E72" s="166"/>
      <c r="F72" s="166"/>
      <c r="G72" s="166"/>
      <c r="H72" s="166"/>
      <c r="I72" s="75">
        <f>I33</f>
        <v>350.6</v>
      </c>
      <c r="J72" s="34"/>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row>
    <row r="73" spans="1:256" x14ac:dyDescent="0.35">
      <c r="A73" s="24" t="s">
        <v>27</v>
      </c>
      <c r="B73" s="166" t="s">
        <v>28</v>
      </c>
      <c r="C73" s="166"/>
      <c r="D73" s="166"/>
      <c r="E73" s="166"/>
      <c r="F73" s="166"/>
      <c r="G73" s="166"/>
      <c r="H73" s="166"/>
      <c r="I73" s="75">
        <f>I48</f>
        <v>1290.32</v>
      </c>
      <c r="J73" s="34"/>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c r="IV73" s="33"/>
    </row>
    <row r="74" spans="1:256" x14ac:dyDescent="0.35">
      <c r="A74" s="24" t="s">
        <v>43</v>
      </c>
      <c r="B74" s="166" t="s">
        <v>44</v>
      </c>
      <c r="C74" s="166"/>
      <c r="D74" s="166"/>
      <c r="E74" s="166"/>
      <c r="F74" s="166"/>
      <c r="G74" s="166"/>
      <c r="H74" s="166"/>
      <c r="I74" s="75">
        <f>I66</f>
        <v>0</v>
      </c>
      <c r="J74" s="34"/>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c r="IV74" s="33"/>
    </row>
    <row r="75" spans="1:256" x14ac:dyDescent="0.35">
      <c r="A75" s="150" t="s">
        <v>1</v>
      </c>
      <c r="B75" s="150"/>
      <c r="C75" s="150"/>
      <c r="D75" s="150"/>
      <c r="E75" s="150"/>
      <c r="F75" s="150"/>
      <c r="G75" s="150"/>
      <c r="H75" s="150"/>
      <c r="I75" s="80">
        <f>SUM(I72+I73+I74)</f>
        <v>1640.92</v>
      </c>
      <c r="J75" s="34"/>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c r="IV75" s="33"/>
    </row>
    <row r="76" spans="1:256" ht="15" customHeight="1" x14ac:dyDescent="0.35">
      <c r="A76" s="174"/>
      <c r="B76" s="174"/>
      <c r="C76" s="174"/>
      <c r="D76" s="174"/>
      <c r="E76" s="174"/>
      <c r="F76" s="174"/>
      <c r="G76" s="174"/>
      <c r="H76" s="174"/>
      <c r="I76" s="174"/>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c r="IV76" s="33"/>
    </row>
    <row r="77" spans="1:256" ht="16" customHeight="1" x14ac:dyDescent="0.35">
      <c r="A77" s="71"/>
      <c r="B77" s="71"/>
      <c r="C77" s="71"/>
      <c r="D77" s="71"/>
      <c r="E77" s="71"/>
      <c r="F77" s="71"/>
      <c r="G77" s="71"/>
      <c r="H77" s="71"/>
      <c r="I77" s="71"/>
      <c r="J77" s="34"/>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c r="IV77" s="33"/>
    </row>
    <row r="78" spans="1:256" s="37" customFormat="1" x14ac:dyDescent="0.35">
      <c r="A78" s="161" t="s">
        <v>57</v>
      </c>
      <c r="B78" s="161"/>
      <c r="C78" s="161"/>
      <c r="D78" s="161"/>
      <c r="E78" s="161"/>
      <c r="F78" s="161"/>
      <c r="G78" s="161"/>
      <c r="H78" s="161"/>
      <c r="I78" s="161"/>
      <c r="J78" s="161"/>
      <c r="K78" s="39"/>
    </row>
    <row r="79" spans="1:256" x14ac:dyDescent="0.35">
      <c r="A79" s="25">
        <v>3</v>
      </c>
      <c r="B79" s="164" t="s">
        <v>58</v>
      </c>
      <c r="C79" s="164"/>
      <c r="D79" s="164"/>
      <c r="E79" s="164"/>
      <c r="F79" s="164"/>
      <c r="G79" s="164"/>
      <c r="H79" s="164"/>
      <c r="I79" s="25" t="s">
        <v>202</v>
      </c>
      <c r="J79" s="25" t="s">
        <v>59</v>
      </c>
      <c r="K79" s="104"/>
      <c r="L79" s="105"/>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c r="IV79" s="33"/>
    </row>
    <row r="80" spans="1:256" x14ac:dyDescent="0.35">
      <c r="A80" s="23" t="s">
        <v>16</v>
      </c>
      <c r="B80" s="166" t="s">
        <v>209</v>
      </c>
      <c r="C80" s="166"/>
      <c r="D80" s="166"/>
      <c r="E80" s="166"/>
      <c r="F80" s="166"/>
      <c r="G80" s="166"/>
      <c r="H80" s="166"/>
      <c r="I80" s="52">
        <f>(1/12*0.05*100%)</f>
        <v>4.1666666666666666E-3</v>
      </c>
      <c r="J80" s="73">
        <f>I24*I80</f>
        <v>13.148833333333334</v>
      </c>
      <c r="K80" s="106"/>
      <c r="L80" s="10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c r="IV80" s="33"/>
    </row>
    <row r="81" spans="1:256" x14ac:dyDescent="0.35">
      <c r="A81" s="23" t="s">
        <v>17</v>
      </c>
      <c r="B81" s="178" t="s">
        <v>199</v>
      </c>
      <c r="C81" s="179"/>
      <c r="D81" s="179"/>
      <c r="E81" s="179"/>
      <c r="F81" s="179"/>
      <c r="G81" s="179"/>
      <c r="H81" s="180"/>
      <c r="I81" s="109">
        <f>(8%*0.42%)</f>
        <v>3.3599999999999998E-4</v>
      </c>
      <c r="J81" s="73">
        <f>I24*I81</f>
        <v>1.06032192</v>
      </c>
      <c r="K81" s="110"/>
      <c r="L81" s="105"/>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c r="IV81" s="33"/>
    </row>
    <row r="82" spans="1:256" s="112" customFormat="1" ht="28" customHeight="1" x14ac:dyDescent="0.3">
      <c r="A82" s="129" t="s">
        <v>33</v>
      </c>
      <c r="B82" s="181" t="s">
        <v>200</v>
      </c>
      <c r="C82" s="181"/>
      <c r="D82" s="181"/>
      <c r="E82" s="181"/>
      <c r="F82" s="181"/>
      <c r="G82" s="181"/>
      <c r="H82" s="181"/>
      <c r="I82" s="113">
        <f>(((1+2/12+(1/3*1/12))*(0.08*0.4*0.9*100%)))</f>
        <v>3.44E-2</v>
      </c>
      <c r="J82" s="73">
        <f>I24*I82</f>
        <v>108.55676800000001</v>
      </c>
      <c r="K82" s="114"/>
      <c r="L82" s="116"/>
    </row>
    <row r="83" spans="1:256" ht="31.75" customHeight="1" x14ac:dyDescent="0.35">
      <c r="A83" s="23" t="s">
        <v>36</v>
      </c>
      <c r="B83" s="166" t="s">
        <v>203</v>
      </c>
      <c r="C83" s="166"/>
      <c r="D83" s="166"/>
      <c r="E83" s="166"/>
      <c r="F83" s="166"/>
      <c r="G83" s="166"/>
      <c r="H83" s="166"/>
      <c r="I83" s="118">
        <f>(7/30)/12*100%</f>
        <v>1.9444444444444445E-2</v>
      </c>
      <c r="J83" s="73">
        <f>I24*I83</f>
        <v>61.361222222222231</v>
      </c>
      <c r="K83" s="94"/>
      <c r="L83" s="105"/>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row>
    <row r="84" spans="1:256" ht="15.75" customHeight="1" x14ac:dyDescent="0.35">
      <c r="A84" s="23" t="s">
        <v>9</v>
      </c>
      <c r="B84" s="175" t="s">
        <v>201</v>
      </c>
      <c r="C84" s="175"/>
      <c r="D84" s="175"/>
      <c r="E84" s="175"/>
      <c r="F84" s="175"/>
      <c r="G84" s="175"/>
      <c r="H84" s="175"/>
      <c r="I84" s="48">
        <f>36.8%*1.94%</f>
        <v>7.1392000000000001E-3</v>
      </c>
      <c r="J84" s="73">
        <f>I24*I84</f>
        <v>22.529316224000002</v>
      </c>
      <c r="K84" s="94"/>
      <c r="L84" s="119"/>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row>
    <row r="85" spans="1:256" ht="30.5" customHeight="1" x14ac:dyDescent="0.35">
      <c r="A85" s="23" t="s">
        <v>39</v>
      </c>
      <c r="B85" s="178" t="s">
        <v>210</v>
      </c>
      <c r="C85" s="179"/>
      <c r="D85" s="179"/>
      <c r="E85" s="179"/>
      <c r="F85" s="179"/>
      <c r="G85" s="179"/>
      <c r="H85" s="180"/>
      <c r="I85" s="117">
        <f>0.08*0.0194*0.4*100%</f>
        <v>6.2080000000000002E-4</v>
      </c>
      <c r="J85" s="73">
        <f>I24*I85</f>
        <v>1.9590709760000002</v>
      </c>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c r="IV85" s="33"/>
    </row>
    <row r="86" spans="1:256" ht="15.75" customHeight="1" x14ac:dyDescent="0.35">
      <c r="A86" s="124"/>
      <c r="B86" s="182" t="s">
        <v>213</v>
      </c>
      <c r="C86" s="183"/>
      <c r="D86" s="183"/>
      <c r="E86" s="183"/>
      <c r="F86" s="183"/>
      <c r="G86" s="183"/>
      <c r="H86" s="184"/>
      <c r="I86" s="115">
        <f>SUM(I80:I85)</f>
        <v>6.6107111111111116E-2</v>
      </c>
      <c r="J86" s="74">
        <f>SUM(J80:J85)</f>
        <v>208.61553267555558</v>
      </c>
      <c r="K86" s="94"/>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c r="IV86" s="33"/>
    </row>
    <row r="87" spans="1:256" ht="16" customHeight="1" x14ac:dyDescent="0.35">
      <c r="A87" s="185"/>
      <c r="B87" s="185"/>
      <c r="C87" s="185"/>
      <c r="D87" s="185"/>
      <c r="E87" s="185"/>
      <c r="F87" s="185"/>
      <c r="G87" s="185"/>
      <c r="H87" s="185"/>
      <c r="I87" s="18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c r="IV87" s="33"/>
    </row>
    <row r="88" spans="1:256" ht="15" customHeight="1" x14ac:dyDescent="0.35">
      <c r="A88" s="67"/>
      <c r="B88" s="67"/>
      <c r="C88" s="67"/>
      <c r="D88" s="67"/>
      <c r="E88" s="67"/>
      <c r="F88" s="67"/>
      <c r="G88" s="67"/>
      <c r="H88" s="67"/>
      <c r="I88" s="67"/>
      <c r="J88" s="34"/>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c r="IV88" s="33"/>
    </row>
    <row r="89" spans="1:256" ht="18.5" customHeight="1" x14ac:dyDescent="0.35">
      <c r="A89" s="149" t="s">
        <v>60</v>
      </c>
      <c r="B89" s="149"/>
      <c r="C89" s="149"/>
      <c r="D89" s="149"/>
      <c r="E89" s="149"/>
      <c r="F89" s="149"/>
      <c r="G89" s="149"/>
      <c r="H89" s="149"/>
      <c r="I89" s="149"/>
      <c r="J89" s="34"/>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c r="IV89" s="33"/>
    </row>
    <row r="90" spans="1:256" ht="27" customHeight="1" x14ac:dyDescent="0.35">
      <c r="A90" s="186" t="s">
        <v>61</v>
      </c>
      <c r="B90" s="186"/>
      <c r="C90" s="186"/>
      <c r="D90" s="186"/>
      <c r="E90" s="186"/>
      <c r="F90" s="186"/>
      <c r="G90" s="186"/>
      <c r="H90" s="186"/>
      <c r="I90" s="186"/>
      <c r="J90" s="34"/>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c r="IV90" s="33"/>
    </row>
    <row r="91" spans="1:256" ht="29" customHeight="1" x14ac:dyDescent="0.35">
      <c r="A91" s="187" t="s">
        <v>159</v>
      </c>
      <c r="B91" s="187"/>
      <c r="C91" s="187"/>
      <c r="D91" s="187"/>
      <c r="E91" s="187"/>
      <c r="F91" s="187"/>
      <c r="G91" s="187"/>
      <c r="H91" s="187"/>
      <c r="I91" s="187"/>
      <c r="J91" s="34"/>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c r="IV91" s="33"/>
    </row>
    <row r="92" spans="1:256" ht="19.5" customHeight="1" x14ac:dyDescent="0.35">
      <c r="A92" s="162"/>
      <c r="B92" s="162"/>
      <c r="C92" s="162"/>
      <c r="D92" s="162"/>
      <c r="E92" s="162"/>
      <c r="F92" s="162"/>
      <c r="G92" s="162"/>
      <c r="H92" s="162"/>
      <c r="I92" s="162"/>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c r="IV92" s="33"/>
    </row>
    <row r="93" spans="1:256" ht="41.25" customHeight="1" x14ac:dyDescent="0.35">
      <c r="A93" s="27" t="s">
        <v>62</v>
      </c>
      <c r="B93" s="82">
        <f>I24</f>
        <v>3155.7200000000003</v>
      </c>
      <c r="C93" s="27"/>
      <c r="D93" s="27" t="s">
        <v>160</v>
      </c>
      <c r="E93" s="82">
        <f>I75-I54-I59</f>
        <v>1640.92</v>
      </c>
      <c r="F93" s="26"/>
      <c r="G93" s="27" t="s">
        <v>63</v>
      </c>
      <c r="H93" s="82">
        <f>J86</f>
        <v>208.61553267555558</v>
      </c>
      <c r="I93" s="75">
        <f>B93+E93+H93</f>
        <v>5005.2555326755555</v>
      </c>
      <c r="J93" s="100"/>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c r="IV93" s="33"/>
    </row>
    <row r="94" spans="1:256" ht="17.5" customHeight="1" x14ac:dyDescent="0.35">
      <c r="A94" s="188"/>
      <c r="B94" s="188"/>
      <c r="C94" s="188"/>
      <c r="D94" s="188"/>
      <c r="E94" s="188"/>
      <c r="F94" s="188"/>
      <c r="G94" s="188"/>
      <c r="H94" s="188"/>
      <c r="I94" s="188"/>
      <c r="J94"/>
      <c r="K94" s="34"/>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row>
    <row r="95" spans="1:256" s="103" customFormat="1" ht="17.5" customHeight="1" x14ac:dyDescent="0.35">
      <c r="A95" s="125"/>
      <c r="B95" s="125"/>
      <c r="C95" s="125"/>
      <c r="D95" s="125"/>
      <c r="E95" s="125"/>
      <c r="F95" s="125"/>
      <c r="G95" s="125"/>
      <c r="H95" s="125"/>
      <c r="I95" s="125"/>
      <c r="J95"/>
      <c r="K95" s="102"/>
    </row>
    <row r="96" spans="1:256" s="103" customFormat="1" ht="19" customHeight="1" x14ac:dyDescent="0.35">
      <c r="A96" s="149" t="s">
        <v>64</v>
      </c>
      <c r="B96" s="149"/>
      <c r="C96" s="149"/>
      <c r="D96" s="149"/>
      <c r="E96" s="149"/>
      <c r="F96" s="149"/>
      <c r="G96" s="149"/>
      <c r="H96" s="149"/>
      <c r="I96" s="149"/>
      <c r="J96" s="149"/>
      <c r="K96" s="102"/>
    </row>
    <row r="97" spans="1:256" ht="15.75" customHeight="1" x14ac:dyDescent="0.35">
      <c r="A97" s="29" t="s">
        <v>65</v>
      </c>
      <c r="B97" s="164" t="s">
        <v>66</v>
      </c>
      <c r="C97" s="164"/>
      <c r="D97" s="164"/>
      <c r="E97" s="164"/>
      <c r="F97" s="164"/>
      <c r="G97" s="164"/>
      <c r="H97" s="164"/>
      <c r="I97" s="25" t="s">
        <v>204</v>
      </c>
      <c r="J97" s="29" t="s">
        <v>23</v>
      </c>
      <c r="K97" s="34"/>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row>
    <row r="98" spans="1:256" ht="16.5" customHeight="1" x14ac:dyDescent="0.35">
      <c r="A98" s="23" t="s">
        <v>16</v>
      </c>
      <c r="B98" s="162" t="s">
        <v>208</v>
      </c>
      <c r="C98" s="162"/>
      <c r="D98" s="162"/>
      <c r="E98" s="162"/>
      <c r="F98" s="162"/>
      <c r="G98" s="162"/>
      <c r="H98" s="162"/>
      <c r="I98" s="118">
        <f>1/12</f>
        <v>8.3333333333333329E-2</v>
      </c>
      <c r="J98" s="73">
        <f>I24*I98</f>
        <v>262.97666666666669</v>
      </c>
      <c r="K98" s="94"/>
      <c r="L98" s="33"/>
      <c r="M98" s="33"/>
      <c r="N98" s="91"/>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row>
    <row r="99" spans="1:256" ht="15.75" customHeight="1" x14ac:dyDescent="0.35">
      <c r="A99" s="23" t="s">
        <v>17</v>
      </c>
      <c r="B99" s="166" t="s">
        <v>207</v>
      </c>
      <c r="C99" s="166"/>
      <c r="D99" s="166"/>
      <c r="E99" s="166"/>
      <c r="F99" s="166"/>
      <c r="G99" s="166"/>
      <c r="H99" s="166"/>
      <c r="I99" s="118">
        <f>(5/30/12)*100%</f>
        <v>1.3888888888888888E-2</v>
      </c>
      <c r="J99" s="73">
        <f>I24*I99</f>
        <v>43.829444444444448</v>
      </c>
      <c r="K99" s="34"/>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c r="IV99" s="33"/>
    </row>
    <row r="100" spans="1:256" ht="18.5" customHeight="1" x14ac:dyDescent="0.35">
      <c r="A100" s="23" t="s">
        <v>33</v>
      </c>
      <c r="B100" s="166" t="s">
        <v>206</v>
      </c>
      <c r="C100" s="166"/>
      <c r="D100" s="166"/>
      <c r="E100" s="166"/>
      <c r="F100" s="166"/>
      <c r="G100" s="166"/>
      <c r="H100" s="166"/>
      <c r="I100" s="118">
        <f>(5/30/12)*0.015*100%</f>
        <v>2.0833333333333332E-4</v>
      </c>
      <c r="J100" s="73">
        <f>I24*I100</f>
        <v>0.6574416666666667</v>
      </c>
      <c r="K100" s="34"/>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c r="IV100" s="33"/>
    </row>
    <row r="101" spans="1:256" x14ac:dyDescent="0.35">
      <c r="A101" s="23" t="s">
        <v>36</v>
      </c>
      <c r="B101" s="166" t="s">
        <v>212</v>
      </c>
      <c r="C101" s="166"/>
      <c r="D101" s="166"/>
      <c r="E101" s="166"/>
      <c r="F101" s="166"/>
      <c r="G101" s="166"/>
      <c r="H101" s="166"/>
      <c r="I101" s="121">
        <f>(1/12)*0.0178*100%/2</f>
        <v>7.4166666666666662E-4</v>
      </c>
      <c r="J101" s="73">
        <f>I24*I101</f>
        <v>2.3404923333333332</v>
      </c>
      <c r="K101" s="34"/>
      <c r="L101" s="33"/>
      <c r="M101" s="33"/>
      <c r="N101" s="33"/>
      <c r="O101" s="120"/>
      <c r="P101" s="111"/>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c r="IV101" s="33"/>
    </row>
    <row r="102" spans="1:256" ht="31" customHeight="1" x14ac:dyDescent="0.35">
      <c r="A102" s="23" t="s">
        <v>9</v>
      </c>
      <c r="B102" s="166" t="s">
        <v>211</v>
      </c>
      <c r="C102" s="166"/>
      <c r="D102" s="166"/>
      <c r="E102" s="166"/>
      <c r="F102" s="166"/>
      <c r="G102" s="166"/>
      <c r="H102" s="166"/>
      <c r="I102" s="121">
        <f>11.11%*5.28%*50%</f>
        <v>2.9330399999999996E-3</v>
      </c>
      <c r="J102" s="73">
        <f>I24*I102</f>
        <v>9.2558529887999992</v>
      </c>
      <c r="K102" s="34"/>
      <c r="L102" s="12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row>
    <row r="103" spans="1:256" x14ac:dyDescent="0.35">
      <c r="A103" s="2" t="s">
        <v>39</v>
      </c>
      <c r="B103" s="166" t="s">
        <v>205</v>
      </c>
      <c r="C103" s="166"/>
      <c r="D103" s="166"/>
      <c r="E103" s="166"/>
      <c r="F103" s="166"/>
      <c r="G103" s="166"/>
      <c r="H103" s="166"/>
      <c r="I103" s="118">
        <f>(1/30/12)*100%</f>
        <v>2.7777777777777779E-3</v>
      </c>
      <c r="J103" s="73">
        <f>I24*I103</f>
        <v>8.76588888888889</v>
      </c>
      <c r="K103" s="34"/>
      <c r="L103" s="111"/>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c r="IV103" s="33"/>
    </row>
    <row r="104" spans="1:256" ht="15.75" customHeight="1" x14ac:dyDescent="0.35">
      <c r="A104" s="124"/>
      <c r="B104" s="182" t="s">
        <v>213</v>
      </c>
      <c r="C104" s="183"/>
      <c r="D104" s="183"/>
      <c r="E104" s="183"/>
      <c r="F104" s="183"/>
      <c r="G104" s="183"/>
      <c r="H104" s="184"/>
      <c r="I104" s="122">
        <f>SUM(I98:I103)</f>
        <v>0.10388304</v>
      </c>
      <c r="J104" s="83">
        <f>SUM(J98:J103)</f>
        <v>327.82578698879996</v>
      </c>
      <c r="K104" s="34"/>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c r="IV104" s="33"/>
    </row>
    <row r="105" spans="1:256" ht="16" customHeight="1" x14ac:dyDescent="0.35">
      <c r="A105" s="84"/>
      <c r="B105" s="84"/>
      <c r="C105" s="84"/>
      <c r="D105" s="84"/>
      <c r="E105" s="84"/>
      <c r="F105" s="84"/>
      <c r="G105" s="84"/>
      <c r="H105" s="84"/>
      <c r="I105" s="84"/>
      <c r="J105" s="34"/>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c r="IV105" s="33"/>
    </row>
    <row r="106" spans="1:256" ht="17.5" customHeight="1" x14ac:dyDescent="0.35">
      <c r="A106" s="84"/>
      <c r="B106" s="84"/>
      <c r="C106" s="84"/>
      <c r="D106" s="84"/>
      <c r="E106" s="84"/>
      <c r="F106" s="84"/>
      <c r="G106" s="84"/>
      <c r="H106" s="84"/>
      <c r="I106" s="84"/>
      <c r="J106" s="34"/>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c r="IV106" s="33"/>
    </row>
    <row r="107" spans="1:256" ht="18" customHeight="1" x14ac:dyDescent="0.35">
      <c r="A107" s="161" t="s">
        <v>67</v>
      </c>
      <c r="B107" s="161"/>
      <c r="C107" s="161"/>
      <c r="D107" s="161"/>
      <c r="E107" s="161"/>
      <c r="F107" s="161"/>
      <c r="G107" s="161"/>
      <c r="H107" s="161"/>
      <c r="I107" s="161"/>
      <c r="J107" s="34"/>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c r="IV107" s="33"/>
    </row>
    <row r="108" spans="1:256" x14ac:dyDescent="0.35">
      <c r="A108" s="25" t="s">
        <v>68</v>
      </c>
      <c r="B108" s="164" t="s">
        <v>69</v>
      </c>
      <c r="C108" s="164"/>
      <c r="D108" s="164"/>
      <c r="E108" s="164"/>
      <c r="F108" s="164"/>
      <c r="G108" s="164"/>
      <c r="H108" s="164"/>
      <c r="I108" s="30" t="s">
        <v>23</v>
      </c>
      <c r="J108" s="34"/>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c r="IV108" s="33"/>
    </row>
    <row r="109" spans="1:256" ht="13.75" customHeight="1" x14ac:dyDescent="0.35">
      <c r="A109" s="23" t="s">
        <v>16</v>
      </c>
      <c r="B109" s="175" t="s">
        <v>70</v>
      </c>
      <c r="C109" s="175"/>
      <c r="D109" s="175"/>
      <c r="E109" s="175"/>
      <c r="F109" s="175"/>
      <c r="G109" s="175"/>
      <c r="H109" s="175"/>
      <c r="I109" s="73">
        <v>0</v>
      </c>
      <c r="J109" s="34"/>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row>
    <row r="110" spans="1:256" ht="16.149999999999999" customHeight="1" x14ac:dyDescent="0.35">
      <c r="A110" s="190" t="s">
        <v>1</v>
      </c>
      <c r="B110" s="190"/>
      <c r="C110" s="190"/>
      <c r="D110" s="190"/>
      <c r="E110" s="190"/>
      <c r="F110" s="190"/>
      <c r="G110" s="190"/>
      <c r="H110" s="190"/>
      <c r="I110" s="85">
        <v>0</v>
      </c>
      <c r="J110" s="34"/>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row>
    <row r="111" spans="1:256" ht="15" customHeight="1" x14ac:dyDescent="0.35">
      <c r="A111" s="86"/>
      <c r="B111" s="86"/>
      <c r="C111" s="86"/>
      <c r="D111" s="86"/>
      <c r="E111" s="86"/>
      <c r="F111" s="86"/>
      <c r="G111" s="86"/>
      <c r="H111" s="86"/>
      <c r="I111" s="86"/>
      <c r="J111" s="34"/>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c r="IV111" s="33"/>
    </row>
    <row r="112" spans="1:256" ht="19" customHeight="1" x14ac:dyDescent="0.35">
      <c r="A112" s="86"/>
      <c r="B112" s="86"/>
      <c r="C112" s="86"/>
      <c r="D112" s="86"/>
      <c r="E112" s="86"/>
      <c r="F112" s="86"/>
      <c r="G112" s="86"/>
      <c r="H112" s="86"/>
      <c r="I112" s="86"/>
      <c r="J112" s="34"/>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c r="IV112" s="33"/>
    </row>
    <row r="113" spans="1:256" x14ac:dyDescent="0.35">
      <c r="A113" s="149" t="s">
        <v>71</v>
      </c>
      <c r="B113" s="149"/>
      <c r="C113" s="149"/>
      <c r="D113" s="149"/>
      <c r="E113" s="149"/>
      <c r="F113" s="149"/>
      <c r="G113" s="149"/>
      <c r="H113" s="149"/>
      <c r="I113" s="149"/>
      <c r="J113" s="34"/>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c r="IV113" s="33"/>
    </row>
    <row r="114" spans="1:256" x14ac:dyDescent="0.35">
      <c r="A114" s="22">
        <v>4</v>
      </c>
      <c r="B114" s="164" t="s">
        <v>72</v>
      </c>
      <c r="C114" s="164"/>
      <c r="D114" s="164"/>
      <c r="E114" s="164"/>
      <c r="F114" s="164"/>
      <c r="G114" s="164"/>
      <c r="H114" s="164"/>
      <c r="I114" s="30" t="s">
        <v>23</v>
      </c>
      <c r="J114" s="34"/>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c r="IV114" s="33"/>
    </row>
    <row r="115" spans="1:256" ht="19.899999999999999" customHeight="1" x14ac:dyDescent="0.35">
      <c r="A115" s="24" t="s">
        <v>65</v>
      </c>
      <c r="B115" s="175" t="s">
        <v>66</v>
      </c>
      <c r="C115" s="175"/>
      <c r="D115" s="175"/>
      <c r="E115" s="175"/>
      <c r="F115" s="175"/>
      <c r="G115" s="175"/>
      <c r="H115" s="175"/>
      <c r="I115" s="73">
        <f>I110</f>
        <v>0</v>
      </c>
      <c r="J115" s="34"/>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c r="IV115" s="33"/>
    </row>
    <row r="116" spans="1:256" ht="19.899999999999999" customHeight="1" x14ac:dyDescent="0.35">
      <c r="A116" s="24" t="s">
        <v>68</v>
      </c>
      <c r="B116" s="175" t="s">
        <v>69</v>
      </c>
      <c r="C116" s="175"/>
      <c r="D116" s="175"/>
      <c r="E116" s="175"/>
      <c r="F116" s="175"/>
      <c r="G116" s="175"/>
      <c r="H116" s="175"/>
      <c r="I116" s="73">
        <f>I110</f>
        <v>0</v>
      </c>
      <c r="J116" s="34"/>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c r="IV116" s="33"/>
    </row>
    <row r="117" spans="1:256" x14ac:dyDescent="0.35">
      <c r="A117" s="150" t="s">
        <v>1</v>
      </c>
      <c r="B117" s="150"/>
      <c r="C117" s="150"/>
      <c r="D117" s="150"/>
      <c r="E117" s="150"/>
      <c r="F117" s="150"/>
      <c r="G117" s="150"/>
      <c r="H117" s="150"/>
      <c r="I117" s="74">
        <f>SUM(I115+I116)</f>
        <v>0</v>
      </c>
      <c r="J117" s="34"/>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c r="IV117" s="33"/>
    </row>
    <row r="118" spans="1:256" ht="17.5" customHeight="1" x14ac:dyDescent="0.35">
      <c r="A118" s="189"/>
      <c r="B118" s="189"/>
      <c r="C118" s="189"/>
      <c r="D118" s="189"/>
      <c r="E118" s="189"/>
      <c r="F118" s="189"/>
      <c r="G118" s="189"/>
      <c r="H118" s="189"/>
      <c r="I118" s="189"/>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c r="IV118" s="33"/>
    </row>
    <row r="119" spans="1:256" ht="15" customHeight="1" x14ac:dyDescent="0.35">
      <c r="A119" s="84"/>
      <c r="B119" s="84"/>
      <c r="C119" s="84"/>
      <c r="D119" s="84"/>
      <c r="E119" s="84"/>
      <c r="F119" s="84"/>
      <c r="G119" s="84"/>
      <c r="H119" s="84"/>
      <c r="I119" s="84"/>
      <c r="J119" s="34"/>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c r="IV119" s="33"/>
    </row>
    <row r="120" spans="1:256" x14ac:dyDescent="0.35">
      <c r="A120" s="149" t="s">
        <v>73</v>
      </c>
      <c r="B120" s="149"/>
      <c r="C120" s="149"/>
      <c r="D120" s="149"/>
      <c r="E120" s="149"/>
      <c r="F120" s="149"/>
      <c r="G120" s="149"/>
      <c r="H120" s="149"/>
      <c r="I120" s="149"/>
      <c r="J120" s="34"/>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c r="IV120" s="33"/>
    </row>
    <row r="121" spans="1:256" x14ac:dyDescent="0.35">
      <c r="A121" s="25">
        <v>5</v>
      </c>
      <c r="B121" s="150" t="s">
        <v>74</v>
      </c>
      <c r="C121" s="150"/>
      <c r="D121" s="150"/>
      <c r="E121" s="150"/>
      <c r="F121" s="150"/>
      <c r="G121" s="150"/>
      <c r="H121" s="150"/>
      <c r="I121" s="25" t="s">
        <v>23</v>
      </c>
      <c r="J121" s="34"/>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c r="IV121" s="33"/>
    </row>
    <row r="122" spans="1:256" ht="17.25" customHeight="1" x14ac:dyDescent="0.35">
      <c r="A122" s="23" t="s">
        <v>16</v>
      </c>
      <c r="B122" s="166" t="s">
        <v>75</v>
      </c>
      <c r="C122" s="166"/>
      <c r="D122" s="166"/>
      <c r="E122" s="166"/>
      <c r="F122" s="166"/>
      <c r="G122" s="166"/>
      <c r="H122" s="166"/>
      <c r="I122" s="73">
        <v>0</v>
      </c>
      <c r="J122" s="34"/>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c r="IV122" s="33"/>
    </row>
    <row r="123" spans="1:256" ht="15.75" customHeight="1" x14ac:dyDescent="0.35">
      <c r="A123" s="23" t="s">
        <v>17</v>
      </c>
      <c r="B123" s="166" t="s">
        <v>76</v>
      </c>
      <c r="C123" s="166"/>
      <c r="D123" s="166"/>
      <c r="E123" s="166"/>
      <c r="F123" s="166"/>
      <c r="G123" s="166"/>
      <c r="H123" s="166"/>
      <c r="I123" s="75"/>
      <c r="J123" s="34"/>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row>
    <row r="124" spans="1:256" ht="15.75" customHeight="1" x14ac:dyDescent="0.35">
      <c r="A124" s="23" t="s">
        <v>33</v>
      </c>
      <c r="B124" s="175" t="s">
        <v>77</v>
      </c>
      <c r="C124" s="175"/>
      <c r="D124" s="175"/>
      <c r="E124" s="175"/>
      <c r="F124" s="175"/>
      <c r="G124" s="175"/>
      <c r="H124" s="175"/>
      <c r="I124" s="75"/>
      <c r="J124" s="34"/>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c r="IV124" s="33"/>
    </row>
    <row r="125" spans="1:256" ht="15.75" customHeight="1" x14ac:dyDescent="0.35">
      <c r="A125" s="23" t="s">
        <v>36</v>
      </c>
      <c r="B125" s="166" t="s">
        <v>78</v>
      </c>
      <c r="C125" s="166"/>
      <c r="D125" s="166"/>
      <c r="E125" s="166"/>
      <c r="F125" s="166"/>
      <c r="G125" s="166"/>
      <c r="H125" s="166"/>
      <c r="I125" s="75" t="s">
        <v>79</v>
      </c>
      <c r="J125" s="34"/>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c r="IV125" s="33"/>
    </row>
    <row r="126" spans="1:256" ht="15.75" customHeight="1" x14ac:dyDescent="0.35">
      <c r="A126" s="164" t="s">
        <v>1</v>
      </c>
      <c r="B126" s="164"/>
      <c r="C126" s="164"/>
      <c r="D126" s="164"/>
      <c r="E126" s="164"/>
      <c r="F126" s="164"/>
      <c r="G126" s="164"/>
      <c r="H126" s="164"/>
      <c r="I126" s="80">
        <f>SUM(I122:I125)</f>
        <v>0</v>
      </c>
      <c r="J126" s="34"/>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c r="IV126" s="33"/>
    </row>
    <row r="127" spans="1:256" ht="14.9" customHeight="1" x14ac:dyDescent="0.35">
      <c r="A127" s="192" t="s">
        <v>80</v>
      </c>
      <c r="B127" s="192"/>
      <c r="C127" s="192"/>
      <c r="D127" s="192"/>
      <c r="E127" s="192"/>
      <c r="F127" s="192"/>
      <c r="G127" s="192"/>
      <c r="H127" s="192"/>
      <c r="I127" s="192"/>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c r="IV127" s="33"/>
    </row>
    <row r="128" spans="1:256" ht="13" customHeight="1" x14ac:dyDescent="0.35">
      <c r="A128" s="67"/>
      <c r="B128" s="67"/>
      <c r="C128" s="67"/>
      <c r="D128" s="67"/>
      <c r="E128" s="67"/>
      <c r="F128" s="67"/>
      <c r="G128" s="67"/>
      <c r="H128" s="67"/>
      <c r="I128" s="67"/>
      <c r="J128" s="34"/>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c r="IV128" s="33"/>
    </row>
    <row r="129" spans="1:256" ht="18" customHeight="1" x14ac:dyDescent="0.35">
      <c r="A129" s="67"/>
      <c r="B129" s="67"/>
      <c r="C129" s="67"/>
      <c r="D129" s="67"/>
      <c r="E129" s="67"/>
      <c r="F129" s="67"/>
      <c r="G129" s="67"/>
      <c r="H129" s="67"/>
      <c r="I129" s="67"/>
      <c r="J129" s="34"/>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c r="IV129" s="33"/>
    </row>
    <row r="130" spans="1:256" s="37" customFormat="1" x14ac:dyDescent="0.35">
      <c r="A130" s="161" t="s">
        <v>81</v>
      </c>
      <c r="B130" s="161"/>
      <c r="C130" s="161"/>
      <c r="D130" s="161"/>
      <c r="E130" s="161"/>
      <c r="F130" s="161"/>
      <c r="G130" s="161"/>
      <c r="H130" s="161"/>
      <c r="I130" s="161"/>
      <c r="J130" s="39"/>
    </row>
    <row r="131" spans="1:256" ht="29" x14ac:dyDescent="0.35">
      <c r="A131" s="25">
        <v>6</v>
      </c>
      <c r="B131" s="164" t="s">
        <v>82</v>
      </c>
      <c r="C131" s="164"/>
      <c r="D131" s="164"/>
      <c r="E131" s="164"/>
      <c r="F131" s="164"/>
      <c r="G131" s="164"/>
      <c r="H131" s="22" t="s">
        <v>29</v>
      </c>
      <c r="I131" s="31" t="s">
        <v>15</v>
      </c>
      <c r="J131" s="34"/>
      <c r="K131" s="33"/>
      <c r="L131" s="33"/>
    </row>
    <row r="132" spans="1:256" ht="61.5" customHeight="1" x14ac:dyDescent="0.35">
      <c r="A132" s="191" t="s">
        <v>83</v>
      </c>
      <c r="B132" s="191"/>
      <c r="C132" s="191"/>
      <c r="D132" s="191"/>
      <c r="E132" s="191"/>
      <c r="F132" s="191"/>
      <c r="G132" s="191"/>
      <c r="H132" s="14" t="s">
        <v>46</v>
      </c>
      <c r="I132" s="87">
        <f>I24+I75+J86+I117+I126</f>
        <v>5005.2555326755555</v>
      </c>
      <c r="J132" s="34"/>
      <c r="K132" s="33"/>
      <c r="L132" s="33"/>
    </row>
    <row r="133" spans="1:256" ht="15.75" customHeight="1" x14ac:dyDescent="0.35">
      <c r="A133" s="23" t="s">
        <v>16</v>
      </c>
      <c r="B133" s="161" t="s">
        <v>6</v>
      </c>
      <c r="C133" s="161"/>
      <c r="D133" s="161"/>
      <c r="E133" s="161"/>
      <c r="F133" s="161"/>
      <c r="G133" s="161"/>
      <c r="H133" s="48">
        <v>5.21E-2</v>
      </c>
      <c r="I133" s="73">
        <f>ROUND(H133*I132,2)</f>
        <v>260.77</v>
      </c>
      <c r="J133" s="34"/>
      <c r="K133" s="33"/>
      <c r="L133" s="33"/>
    </row>
    <row r="134" spans="1:256" ht="59.25" customHeight="1" x14ac:dyDescent="0.35">
      <c r="A134" s="191" t="s">
        <v>84</v>
      </c>
      <c r="B134" s="191"/>
      <c r="C134" s="191"/>
      <c r="D134" s="191"/>
      <c r="E134" s="191"/>
      <c r="F134" s="191"/>
      <c r="G134" s="191"/>
      <c r="H134" s="51" t="s">
        <v>46</v>
      </c>
      <c r="I134" s="87">
        <f>I132+I133</f>
        <v>5266.025532675556</v>
      </c>
      <c r="J134" s="34"/>
      <c r="K134" s="33"/>
      <c r="L134" s="33"/>
    </row>
    <row r="135" spans="1:256" ht="15.75" customHeight="1" x14ac:dyDescent="0.35">
      <c r="A135" s="23" t="s">
        <v>17</v>
      </c>
      <c r="B135" s="161" t="s">
        <v>8</v>
      </c>
      <c r="C135" s="161"/>
      <c r="D135" s="161"/>
      <c r="E135" s="161"/>
      <c r="F135" s="161"/>
      <c r="G135" s="161"/>
      <c r="H135" s="48">
        <v>9.2700000000000005E-2</v>
      </c>
      <c r="I135" s="73">
        <f>ROUND(H135*I134,2)</f>
        <v>488.16</v>
      </c>
      <c r="J135" s="34"/>
      <c r="K135" s="33"/>
      <c r="L135" s="33"/>
    </row>
    <row r="136" spans="1:256" ht="55.5" customHeight="1" x14ac:dyDescent="0.35">
      <c r="A136" s="191" t="s">
        <v>85</v>
      </c>
      <c r="B136" s="191"/>
      <c r="C136" s="191"/>
      <c r="D136" s="191"/>
      <c r="E136" s="191"/>
      <c r="F136" s="191"/>
      <c r="G136" s="191"/>
      <c r="H136" s="51" t="s">
        <v>46</v>
      </c>
      <c r="I136" s="87">
        <f>SUM(I132+I133+I135)</f>
        <v>5754.1855326755558</v>
      </c>
      <c r="J136" s="34"/>
      <c r="K136" s="33"/>
      <c r="L136" s="33"/>
    </row>
    <row r="137" spans="1:256" ht="15.75" customHeight="1" x14ac:dyDescent="0.35">
      <c r="A137" s="23" t="s">
        <v>33</v>
      </c>
      <c r="B137" s="161" t="s">
        <v>7</v>
      </c>
      <c r="C137" s="161"/>
      <c r="D137" s="161"/>
      <c r="E137" s="161"/>
      <c r="F137" s="161"/>
      <c r="G137" s="161"/>
      <c r="H137" s="48" t="s">
        <v>46</v>
      </c>
      <c r="I137" s="73" t="s">
        <v>46</v>
      </c>
      <c r="J137" s="34"/>
      <c r="K137" s="33"/>
      <c r="L137" s="33"/>
    </row>
    <row r="138" spans="1:256" ht="15.75" customHeight="1" x14ac:dyDescent="0.35">
      <c r="A138" s="23"/>
      <c r="B138" s="175" t="s">
        <v>86</v>
      </c>
      <c r="C138" s="175"/>
      <c r="D138" s="175"/>
      <c r="E138" s="175"/>
      <c r="F138" s="175"/>
      <c r="G138" s="175"/>
      <c r="H138" s="48" t="s">
        <v>46</v>
      </c>
      <c r="I138" s="73" t="s">
        <v>46</v>
      </c>
      <c r="J138" s="34"/>
      <c r="K138" s="33"/>
      <c r="L138" s="33"/>
    </row>
    <row r="139" spans="1:256" x14ac:dyDescent="0.35">
      <c r="A139" s="23"/>
      <c r="B139" s="195" t="s">
        <v>87</v>
      </c>
      <c r="C139" s="195"/>
      <c r="D139" s="195"/>
      <c r="E139" s="195"/>
      <c r="F139" s="195"/>
      <c r="G139" s="195"/>
      <c r="H139" s="52">
        <v>7.5999999999999998E-2</v>
      </c>
      <c r="I139" s="73">
        <f>ROUND(($I$136/(1-$H$149))*H139,2)</f>
        <v>509.99</v>
      </c>
      <c r="J139" s="89" t="s">
        <v>166</v>
      </c>
      <c r="K139" s="33"/>
      <c r="L139" s="33"/>
    </row>
    <row r="140" spans="1:256" x14ac:dyDescent="0.35">
      <c r="A140" s="23"/>
      <c r="B140" s="195" t="s">
        <v>88</v>
      </c>
      <c r="C140" s="195"/>
      <c r="D140" s="195"/>
      <c r="E140" s="195"/>
      <c r="F140" s="195"/>
      <c r="G140" s="195"/>
      <c r="H140" s="52">
        <v>1.6500000000000001E-2</v>
      </c>
      <c r="I140" s="73">
        <f>ROUND(($I$136/(1-$H$149))*H140,2)</f>
        <v>110.72</v>
      </c>
      <c r="J140" s="89" t="s">
        <v>166</v>
      </c>
      <c r="K140" s="33"/>
      <c r="L140" s="33"/>
    </row>
    <row r="141" spans="1:256" ht="27" customHeight="1" x14ac:dyDescent="0.35">
      <c r="A141" s="23"/>
      <c r="B141" s="196" t="s">
        <v>89</v>
      </c>
      <c r="C141" s="196"/>
      <c r="D141" s="196"/>
      <c r="E141" s="196"/>
      <c r="F141" s="196"/>
      <c r="G141" s="196"/>
      <c r="H141" s="52" t="s">
        <v>46</v>
      </c>
      <c r="I141" s="73" t="s">
        <v>46</v>
      </c>
      <c r="J141" s="34"/>
      <c r="K141" s="33"/>
      <c r="L141" s="33"/>
    </row>
    <row r="142" spans="1:256" ht="27" customHeight="1" x14ac:dyDescent="0.35">
      <c r="A142" s="23"/>
      <c r="B142" s="196" t="s">
        <v>152</v>
      </c>
      <c r="C142" s="196"/>
      <c r="D142" s="196"/>
      <c r="E142" s="196"/>
      <c r="F142" s="196"/>
      <c r="G142" s="196"/>
      <c r="H142" s="52" t="s">
        <v>46</v>
      </c>
      <c r="I142" s="73" t="s">
        <v>46</v>
      </c>
      <c r="J142" s="34"/>
      <c r="K142" s="33"/>
      <c r="L142" s="33"/>
    </row>
    <row r="143" spans="1:256" ht="18" customHeight="1" x14ac:dyDescent="0.35">
      <c r="A143" s="23"/>
      <c r="B143" s="197" t="s">
        <v>90</v>
      </c>
      <c r="C143" s="197"/>
      <c r="D143" s="197"/>
      <c r="E143" s="197"/>
      <c r="F143" s="197"/>
      <c r="G143" s="197"/>
      <c r="H143" s="52" t="s">
        <v>46</v>
      </c>
      <c r="I143" s="73" t="s">
        <v>46</v>
      </c>
      <c r="J143" s="34"/>
      <c r="K143" s="33"/>
      <c r="L143" s="33"/>
    </row>
    <row r="144" spans="1:256" ht="18" customHeight="1" x14ac:dyDescent="0.35">
      <c r="A144" s="23"/>
      <c r="B144" s="166" t="s">
        <v>91</v>
      </c>
      <c r="C144" s="166"/>
      <c r="D144" s="166"/>
      <c r="E144" s="166"/>
      <c r="F144" s="166"/>
      <c r="G144" s="166"/>
      <c r="H144" s="52" t="s">
        <v>46</v>
      </c>
      <c r="I144" s="73" t="s">
        <v>46</v>
      </c>
      <c r="J144" s="34"/>
      <c r="K144" s="33"/>
      <c r="L144" s="33"/>
    </row>
    <row r="145" spans="1:12" ht="15" customHeight="1" x14ac:dyDescent="0.35">
      <c r="A145" s="23"/>
      <c r="B145" s="166" t="s">
        <v>191</v>
      </c>
      <c r="C145" s="166"/>
      <c r="D145" s="166"/>
      <c r="E145" s="166"/>
      <c r="F145" s="166"/>
      <c r="G145" s="166"/>
      <c r="H145" s="52">
        <v>0.05</v>
      </c>
      <c r="I145" s="73">
        <f>ROUND(($I$136/(1-$H$149))*H145,2)</f>
        <v>335.52</v>
      </c>
      <c r="J145" s="34"/>
      <c r="K145" s="33"/>
      <c r="L145" s="33"/>
    </row>
    <row r="146" spans="1:12" ht="15.75" customHeight="1" x14ac:dyDescent="0.35">
      <c r="A146" s="164" t="s">
        <v>1</v>
      </c>
      <c r="B146" s="164"/>
      <c r="C146" s="164"/>
      <c r="D146" s="164"/>
      <c r="E146" s="164"/>
      <c r="F146" s="164"/>
      <c r="G146" s="164"/>
      <c r="H146" s="164"/>
      <c r="I146" s="74">
        <f>SUM(I133+I135+I139+I140+I145)</f>
        <v>1705.16</v>
      </c>
      <c r="J146" s="34"/>
      <c r="K146" s="33"/>
      <c r="L146" s="33"/>
    </row>
    <row r="147" spans="1:12" ht="15" customHeight="1" x14ac:dyDescent="0.35">
      <c r="A147" s="84"/>
      <c r="B147" s="84"/>
      <c r="C147" s="84"/>
      <c r="D147" s="84"/>
      <c r="E147" s="84"/>
      <c r="F147" s="84"/>
      <c r="G147" s="84"/>
      <c r="H147" s="84"/>
      <c r="I147" s="84"/>
      <c r="J147" s="34"/>
      <c r="K147" s="33"/>
      <c r="L147" s="33"/>
    </row>
    <row r="148" spans="1:12" ht="16.5" customHeight="1" x14ac:dyDescent="0.35">
      <c r="A148" s="84"/>
      <c r="B148" s="84"/>
      <c r="C148" s="84"/>
      <c r="D148" s="84"/>
      <c r="E148" s="84"/>
      <c r="F148" s="84"/>
      <c r="G148" s="84"/>
      <c r="H148" s="84"/>
      <c r="I148" s="84"/>
      <c r="J148" s="34"/>
      <c r="K148" s="33"/>
      <c r="L148" s="33"/>
    </row>
    <row r="149" spans="1:12" ht="15.75" customHeight="1" x14ac:dyDescent="0.35">
      <c r="A149" s="138" t="s">
        <v>92</v>
      </c>
      <c r="B149" s="138"/>
      <c r="C149" s="138"/>
      <c r="D149" s="138"/>
      <c r="E149" s="138"/>
      <c r="F149" s="138"/>
      <c r="G149" s="138"/>
      <c r="H149" s="51">
        <f>SUM(H139:H145)</f>
        <v>0.14250000000000002</v>
      </c>
      <c r="I149" s="87">
        <f>SUM(I139:I145)</f>
        <v>956.23</v>
      </c>
      <c r="J149" s="34"/>
      <c r="K149" s="33"/>
      <c r="L149" s="33"/>
    </row>
    <row r="150" spans="1:12" ht="12.75" customHeight="1" x14ac:dyDescent="0.35">
      <c r="A150" s="193" t="s">
        <v>93</v>
      </c>
      <c r="B150" s="193"/>
      <c r="C150" s="194" t="s">
        <v>94</v>
      </c>
      <c r="D150" s="194"/>
      <c r="E150" s="194"/>
      <c r="F150" s="194"/>
      <c r="G150" s="194"/>
      <c r="H150" s="194"/>
      <c r="I150" s="194"/>
      <c r="J150" s="34"/>
      <c r="K150" s="33"/>
      <c r="L150" s="33"/>
    </row>
    <row r="151" spans="1:12" ht="12" customHeight="1" x14ac:dyDescent="0.35">
      <c r="A151" s="193"/>
      <c r="B151" s="193"/>
      <c r="C151" s="194" t="s">
        <v>95</v>
      </c>
      <c r="D151" s="194"/>
      <c r="E151" s="194"/>
      <c r="F151" s="194"/>
      <c r="G151" s="194"/>
      <c r="H151" s="194"/>
      <c r="I151" s="194"/>
      <c r="J151" s="34"/>
      <c r="K151" s="33"/>
      <c r="L151" s="33"/>
    </row>
    <row r="152" spans="1:12" ht="13.5" customHeight="1" x14ac:dyDescent="0.35">
      <c r="A152" s="193"/>
      <c r="B152" s="193"/>
      <c r="C152" s="194" t="s">
        <v>96</v>
      </c>
      <c r="D152" s="194"/>
      <c r="E152" s="194"/>
      <c r="F152" s="194"/>
      <c r="G152" s="194"/>
      <c r="H152" s="194"/>
      <c r="I152" s="194"/>
      <c r="J152" s="34"/>
      <c r="K152" s="33"/>
      <c r="L152" s="33"/>
    </row>
    <row r="153" spans="1:12" ht="26.15" customHeight="1" x14ac:dyDescent="0.35">
      <c r="A153" s="176" t="s">
        <v>97</v>
      </c>
      <c r="B153" s="176"/>
      <c r="C153" s="176"/>
      <c r="D153" s="176"/>
      <c r="E153" s="176"/>
      <c r="F153" s="176"/>
      <c r="G153" s="176"/>
      <c r="H153" s="176"/>
      <c r="I153" s="176"/>
      <c r="J153" s="33"/>
      <c r="K153" s="33"/>
      <c r="L153" s="33"/>
    </row>
    <row r="154" spans="1:12" ht="14.5" customHeight="1" x14ac:dyDescent="0.35">
      <c r="A154" s="200"/>
      <c r="B154" s="200"/>
      <c r="C154" s="200"/>
      <c r="D154" s="200"/>
      <c r="E154" s="200"/>
      <c r="F154" s="200"/>
      <c r="G154" s="200"/>
      <c r="H154" s="200"/>
      <c r="I154" s="200"/>
      <c r="J154" s="33"/>
      <c r="K154" s="33"/>
      <c r="L154" s="33"/>
    </row>
    <row r="155" spans="1:12" ht="17" customHeight="1" x14ac:dyDescent="0.35">
      <c r="A155" s="84"/>
      <c r="B155" s="84"/>
      <c r="C155" s="84"/>
      <c r="D155" s="84"/>
      <c r="E155" s="84"/>
      <c r="F155" s="84"/>
      <c r="G155" s="84"/>
      <c r="H155" s="84"/>
      <c r="I155" s="84"/>
      <c r="J155" s="34"/>
      <c r="K155" s="33"/>
      <c r="L155" s="33"/>
    </row>
    <row r="156" spans="1:12" x14ac:dyDescent="0.35">
      <c r="A156" s="201" t="s">
        <v>162</v>
      </c>
      <c r="B156" s="201"/>
      <c r="C156" s="201"/>
      <c r="D156" s="201"/>
      <c r="E156" s="201"/>
      <c r="F156" s="201"/>
      <c r="G156" s="201"/>
      <c r="H156" s="201"/>
      <c r="I156" s="201"/>
      <c r="J156" s="34"/>
      <c r="K156" s="33"/>
      <c r="L156" s="33"/>
    </row>
    <row r="157" spans="1:12" ht="15" customHeight="1" x14ac:dyDescent="0.35">
      <c r="A157" s="150" t="s">
        <v>98</v>
      </c>
      <c r="B157" s="150"/>
      <c r="C157" s="150"/>
      <c r="D157" s="150"/>
      <c r="E157" s="150"/>
      <c r="F157" s="150"/>
      <c r="G157" s="150"/>
      <c r="H157" s="150"/>
      <c r="I157" s="22" t="s">
        <v>23</v>
      </c>
      <c r="J157" s="34"/>
      <c r="K157" s="33"/>
      <c r="L157" s="33"/>
    </row>
    <row r="158" spans="1:12" ht="15" customHeight="1" x14ac:dyDescent="0.35">
      <c r="A158" s="53" t="s">
        <v>16</v>
      </c>
      <c r="B158" s="166" t="s">
        <v>99</v>
      </c>
      <c r="C158" s="166"/>
      <c r="D158" s="166"/>
      <c r="E158" s="166"/>
      <c r="F158" s="166"/>
      <c r="G158" s="166"/>
      <c r="H158" s="166"/>
      <c r="I158" s="75">
        <f>I24</f>
        <v>3155.7200000000003</v>
      </c>
      <c r="J158" s="34"/>
      <c r="K158" s="33"/>
      <c r="L158" s="33"/>
    </row>
    <row r="159" spans="1:12" ht="15" customHeight="1" x14ac:dyDescent="0.35">
      <c r="A159" s="53" t="s">
        <v>17</v>
      </c>
      <c r="B159" s="166" t="s">
        <v>19</v>
      </c>
      <c r="C159" s="166"/>
      <c r="D159" s="166"/>
      <c r="E159" s="166"/>
      <c r="F159" s="166"/>
      <c r="G159" s="166"/>
      <c r="H159" s="166"/>
      <c r="I159" s="75">
        <f>I75</f>
        <v>1640.92</v>
      </c>
      <c r="J159" s="34"/>
      <c r="K159" s="33"/>
      <c r="L159" s="33"/>
    </row>
    <row r="160" spans="1:12" ht="15" customHeight="1" x14ac:dyDescent="0.35">
      <c r="A160" s="53" t="s">
        <v>33</v>
      </c>
      <c r="B160" s="166" t="s">
        <v>100</v>
      </c>
      <c r="C160" s="166"/>
      <c r="D160" s="166"/>
      <c r="E160" s="166"/>
      <c r="F160" s="166"/>
      <c r="G160" s="166"/>
      <c r="H160" s="166"/>
      <c r="I160" s="75">
        <f>J86</f>
        <v>208.61553267555558</v>
      </c>
      <c r="J160" s="34"/>
      <c r="K160" s="33"/>
      <c r="L160" s="33"/>
    </row>
    <row r="161" spans="1:12" ht="15" customHeight="1" x14ac:dyDescent="0.35">
      <c r="A161" s="53" t="s">
        <v>36</v>
      </c>
      <c r="B161" s="166" t="s">
        <v>101</v>
      </c>
      <c r="C161" s="166"/>
      <c r="D161" s="166"/>
      <c r="E161" s="166"/>
      <c r="F161" s="166"/>
      <c r="G161" s="166"/>
      <c r="H161" s="166"/>
      <c r="I161" s="75">
        <f>I117</f>
        <v>0</v>
      </c>
      <c r="J161" s="34"/>
      <c r="K161" s="33"/>
      <c r="L161" s="33"/>
    </row>
    <row r="162" spans="1:12" ht="15" customHeight="1" x14ac:dyDescent="0.35">
      <c r="A162" s="53" t="s">
        <v>9</v>
      </c>
      <c r="B162" s="166" t="s">
        <v>102</v>
      </c>
      <c r="C162" s="166"/>
      <c r="D162" s="166"/>
      <c r="E162" s="166"/>
      <c r="F162" s="166"/>
      <c r="G162" s="166"/>
      <c r="H162" s="166"/>
      <c r="I162" s="75">
        <f>I126</f>
        <v>0</v>
      </c>
      <c r="J162" s="34"/>
      <c r="K162" s="33"/>
      <c r="L162" s="33"/>
    </row>
    <row r="163" spans="1:12" ht="15" customHeight="1" x14ac:dyDescent="0.35">
      <c r="A163" s="198" t="s">
        <v>103</v>
      </c>
      <c r="B163" s="198"/>
      <c r="C163" s="198"/>
      <c r="D163" s="198"/>
      <c r="E163" s="198"/>
      <c r="F163" s="198"/>
      <c r="G163" s="198"/>
      <c r="H163" s="198"/>
      <c r="I163" s="80">
        <f>SUM(I158:I162)</f>
        <v>5005.2555326755555</v>
      </c>
      <c r="J163" s="34"/>
      <c r="K163" s="33"/>
      <c r="L163" s="33"/>
    </row>
    <row r="164" spans="1:12" ht="15" customHeight="1" x14ac:dyDescent="0.35">
      <c r="A164" s="53" t="s">
        <v>39</v>
      </c>
      <c r="B164" s="149" t="s">
        <v>104</v>
      </c>
      <c r="C164" s="149"/>
      <c r="D164" s="149"/>
      <c r="E164" s="149"/>
      <c r="F164" s="149"/>
      <c r="G164" s="149"/>
      <c r="H164" s="149"/>
      <c r="I164" s="75">
        <f>I146</f>
        <v>1705.16</v>
      </c>
      <c r="J164" s="34"/>
      <c r="K164" s="33"/>
      <c r="L164" s="33"/>
    </row>
    <row r="165" spans="1:12" ht="15" customHeight="1" x14ac:dyDescent="0.35">
      <c r="A165" s="199" t="s">
        <v>105</v>
      </c>
      <c r="B165" s="199"/>
      <c r="C165" s="199"/>
      <c r="D165" s="199"/>
      <c r="E165" s="199"/>
      <c r="F165" s="199"/>
      <c r="G165" s="199"/>
      <c r="H165" s="199"/>
      <c r="I165" s="88">
        <f>SUM(I163:I164)</f>
        <v>6710.4155326755554</v>
      </c>
      <c r="J165" s="34"/>
      <c r="K165" s="33"/>
      <c r="L165" s="33"/>
    </row>
    <row r="166" spans="1:12" ht="15" hidden="1" customHeight="1" x14ac:dyDescent="0.35">
      <c r="A166" s="28"/>
      <c r="B166" s="28"/>
      <c r="C166" s="28"/>
      <c r="D166" s="28"/>
      <c r="E166" s="28"/>
      <c r="F166" s="28"/>
      <c r="G166" s="28"/>
      <c r="H166" s="54"/>
      <c r="I166" s="55"/>
      <c r="J166" s="56"/>
      <c r="K166" s="57"/>
      <c r="L166" s="58"/>
    </row>
    <row r="167" spans="1:12" x14ac:dyDescent="0.35">
      <c r="A167" s="59"/>
      <c r="B167" s="59"/>
      <c r="C167" s="59"/>
      <c r="D167" s="59"/>
      <c r="E167" s="59"/>
      <c r="F167" s="59"/>
      <c r="G167" s="59"/>
      <c r="H167" s="59"/>
      <c r="I167" s="60"/>
    </row>
  </sheetData>
  <mergeCells count="142">
    <mergeCell ref="B160:H160"/>
    <mergeCell ref="B161:H161"/>
    <mergeCell ref="B162:H162"/>
    <mergeCell ref="A163:H163"/>
    <mergeCell ref="B164:H164"/>
    <mergeCell ref="A165:H165"/>
    <mergeCell ref="A153:I153"/>
    <mergeCell ref="A154:I154"/>
    <mergeCell ref="A156:I156"/>
    <mergeCell ref="A157:H157"/>
    <mergeCell ref="B158:H158"/>
    <mergeCell ref="B159:H159"/>
    <mergeCell ref="B144:G144"/>
    <mergeCell ref="B145:G145"/>
    <mergeCell ref="A146:H146"/>
    <mergeCell ref="A149:G149"/>
    <mergeCell ref="A150:B152"/>
    <mergeCell ref="C150:I150"/>
    <mergeCell ref="C151:I151"/>
    <mergeCell ref="C152:I152"/>
    <mergeCell ref="B138:G138"/>
    <mergeCell ref="B139:G139"/>
    <mergeCell ref="B140:G140"/>
    <mergeCell ref="B141:G141"/>
    <mergeCell ref="B142:G142"/>
    <mergeCell ref="B143:G143"/>
    <mergeCell ref="A132:G132"/>
    <mergeCell ref="B133:G133"/>
    <mergeCell ref="A134:G134"/>
    <mergeCell ref="B135:G135"/>
    <mergeCell ref="A136:G136"/>
    <mergeCell ref="B137:G137"/>
    <mergeCell ref="B124:H124"/>
    <mergeCell ref="B125:H125"/>
    <mergeCell ref="A126:H126"/>
    <mergeCell ref="A127:I127"/>
    <mergeCell ref="A130:I130"/>
    <mergeCell ref="B131:G131"/>
    <mergeCell ref="A117:H117"/>
    <mergeCell ref="A118:I118"/>
    <mergeCell ref="A120:I120"/>
    <mergeCell ref="B121:H121"/>
    <mergeCell ref="B122:H122"/>
    <mergeCell ref="B123:H123"/>
    <mergeCell ref="B109:H109"/>
    <mergeCell ref="A110:H110"/>
    <mergeCell ref="A113:I113"/>
    <mergeCell ref="B114:H114"/>
    <mergeCell ref="B115:H115"/>
    <mergeCell ref="B116:H116"/>
    <mergeCell ref="A78:J78"/>
    <mergeCell ref="B84:H84"/>
    <mergeCell ref="B85:H85"/>
    <mergeCell ref="B86:H86"/>
    <mergeCell ref="B101:H101"/>
    <mergeCell ref="B102:H102"/>
    <mergeCell ref="B103:H103"/>
    <mergeCell ref="A107:I107"/>
    <mergeCell ref="B108:H108"/>
    <mergeCell ref="A94:I94"/>
    <mergeCell ref="B97:H97"/>
    <mergeCell ref="B98:H98"/>
    <mergeCell ref="B99:H99"/>
    <mergeCell ref="B100:H100"/>
    <mergeCell ref="A96:J96"/>
    <mergeCell ref="B104:H104"/>
    <mergeCell ref="A87:I87"/>
    <mergeCell ref="A89:I89"/>
    <mergeCell ref="A90:I90"/>
    <mergeCell ref="A91:I91"/>
    <mergeCell ref="A92:I92"/>
    <mergeCell ref="B79:H79"/>
    <mergeCell ref="B80:H80"/>
    <mergeCell ref="B81:H81"/>
    <mergeCell ref="B82:H82"/>
    <mergeCell ref="B83:H83"/>
    <mergeCell ref="B72:H72"/>
    <mergeCell ref="B73:H73"/>
    <mergeCell ref="B74:H74"/>
    <mergeCell ref="A75:H75"/>
    <mergeCell ref="A76:I76"/>
    <mergeCell ref="B65:H65"/>
    <mergeCell ref="B66:H66"/>
    <mergeCell ref="A67:I67"/>
    <mergeCell ref="A68:I68"/>
    <mergeCell ref="A70:I70"/>
    <mergeCell ref="B71:H71"/>
    <mergeCell ref="B59:H59"/>
    <mergeCell ref="B60:G60"/>
    <mergeCell ref="B61:G61"/>
    <mergeCell ref="B62:G62"/>
    <mergeCell ref="B63:H63"/>
    <mergeCell ref="B64:H64"/>
    <mergeCell ref="B53:H53"/>
    <mergeCell ref="B54:H54"/>
    <mergeCell ref="B55:G55"/>
    <mergeCell ref="B56:G56"/>
    <mergeCell ref="B57:G57"/>
    <mergeCell ref="B58:G58"/>
    <mergeCell ref="B44:G44"/>
    <mergeCell ref="B45:G45"/>
    <mergeCell ref="B47:G47"/>
    <mergeCell ref="A48:G48"/>
    <mergeCell ref="A49:I49"/>
    <mergeCell ref="A52:I52"/>
    <mergeCell ref="B38:G38"/>
    <mergeCell ref="B39:G39"/>
    <mergeCell ref="B40:G40"/>
    <mergeCell ref="B41:C41"/>
    <mergeCell ref="B42:G42"/>
    <mergeCell ref="B43:G43"/>
    <mergeCell ref="A46:G46"/>
    <mergeCell ref="B31:G31"/>
    <mergeCell ref="B32:G32"/>
    <mergeCell ref="A33:H33"/>
    <mergeCell ref="A34:I34"/>
    <mergeCell ref="A37:I37"/>
    <mergeCell ref="B22:H22"/>
    <mergeCell ref="B23:G23"/>
    <mergeCell ref="A24:H24"/>
    <mergeCell ref="A25:I25"/>
    <mergeCell ref="A28:I28"/>
    <mergeCell ref="A29:I29"/>
    <mergeCell ref="A20:I20"/>
    <mergeCell ref="B21:G21"/>
    <mergeCell ref="A10:I10"/>
    <mergeCell ref="A13:I13"/>
    <mergeCell ref="B14:F14"/>
    <mergeCell ref="G14:I14"/>
    <mergeCell ref="B15:F15"/>
    <mergeCell ref="G15:I15"/>
    <mergeCell ref="B30:H30"/>
    <mergeCell ref="A3:I3"/>
    <mergeCell ref="A4:I4"/>
    <mergeCell ref="A5:I5"/>
    <mergeCell ref="A6:I6"/>
    <mergeCell ref="A8:I8"/>
    <mergeCell ref="A9:I9"/>
    <mergeCell ref="B16:F16"/>
    <mergeCell ref="G16:I16"/>
    <mergeCell ref="B17:F17"/>
    <mergeCell ref="G17:I17"/>
  </mergeCells>
  <pageMargins left="0.511811024" right="0.511811024" top="0.78740157499999996" bottom="0.78740157499999996" header="0.31496062000000002" footer="0.31496062000000002"/>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911C4770B81342BEB798D831453045" ma:contentTypeVersion="6" ma:contentTypeDescription="Create a new document." ma:contentTypeScope="" ma:versionID="fa8b3d04140e8a7cf378c07d90c58b77">
  <xsd:schema xmlns:xsd="http://www.w3.org/2001/XMLSchema" xmlns:xs="http://www.w3.org/2001/XMLSchema" xmlns:p="http://schemas.microsoft.com/office/2006/metadata/properties" xmlns:ns3="d59026d4-742b-4a57-97e5-8193f6ca8c08" xmlns:ns4="daec6743-c973-404e-a323-100dd5ff9e59" targetNamespace="http://schemas.microsoft.com/office/2006/metadata/properties" ma:root="true" ma:fieldsID="291c57920a00c90c80f050ead5dfa64f" ns3:_="" ns4:_="">
    <xsd:import namespace="d59026d4-742b-4a57-97e5-8193f6ca8c08"/>
    <xsd:import namespace="daec6743-c973-404e-a323-100dd5ff9e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9026d4-742b-4a57-97e5-8193f6ca8c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c6743-c973-404e-a323-100dd5ff9e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aec6743-c973-404e-a323-100dd5ff9e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317810-3DD1-49DE-ACB4-BC011227C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9026d4-742b-4a57-97e5-8193f6ca8c08"/>
    <ds:schemaRef ds:uri="daec6743-c973-404e-a323-100dd5ff9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303D5E-E547-444F-9856-02903E6E79DE}">
  <ds:schemaRefs>
    <ds:schemaRef ds:uri="http://www.w3.org/XML/1998/namespace"/>
    <ds:schemaRef ds:uri="daec6743-c973-404e-a323-100dd5ff9e59"/>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59026d4-742b-4a57-97e5-8193f6ca8c08"/>
    <ds:schemaRef ds:uri="http://purl.org/dc/dcmitype/"/>
  </ds:schemaRefs>
</ds:datastoreItem>
</file>

<file path=customXml/itemProps3.xml><?xml version="1.0" encoding="utf-8"?>
<ds:datastoreItem xmlns:ds="http://schemas.openxmlformats.org/officeDocument/2006/customXml" ds:itemID="{1ECCD510-2A20-498F-B11F-8B2300DBBC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RESUMO</vt:lpstr>
      <vt:lpstr>TEC. CONT. JUAZEIRO-BA</vt:lpstr>
      <vt:lpstr>TEC. MEIO AMB. SANTARÉM-PA</vt:lpstr>
      <vt:lpstr>TEC. QUÍM. DOU-MS</vt:lpstr>
      <vt:lpstr>MEC. DOU-MS</vt:lpstr>
      <vt:lpstr>MEC. PONTA PORÃ-MS</vt:lpstr>
      <vt:lpstr>MEC. DÍESEL PONTA PORÃ-MS</vt:lpstr>
      <vt:lpstr>MEC. GUAÍRA-PR</vt:lpstr>
      <vt:lpstr>MEC. DIESEL GUAÍRA-PR</vt:lpstr>
      <vt:lpstr>MEC. FOZ-PR</vt:lpstr>
      <vt:lpstr>MEC. DIESEL FOZ-PR</vt:lpstr>
      <vt:lpstr>TEC. QUÍM. FOZ-PR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vitor figueiredo</dc:creator>
  <cp:lastModifiedBy>Amanda Souza Santos</cp:lastModifiedBy>
  <cp:lastPrinted>2023-03-14T15:12:16Z</cp:lastPrinted>
  <dcterms:created xsi:type="dcterms:W3CDTF">2023-03-10T19:46:25Z</dcterms:created>
  <dcterms:modified xsi:type="dcterms:W3CDTF">2024-06-06T19:28:40Z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0x0101004B911C4770B81342BEB798D831453045</vt:lpwstr>
  </property>
</Properties>
</file>