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PL\2018\Licitações\01- LIMPEZA\EDITAL E ANEXOS\SESSÃO PÚBLICA\"/>
    </mc:Choice>
  </mc:AlternateContent>
  <bookViews>
    <workbookView xWindow="240" yWindow="375" windowWidth="15600" windowHeight="10245"/>
  </bookViews>
  <sheets>
    <sheet name="COM PERICULOSIDADE" sheetId="37" r:id="rId1"/>
    <sheet name="Resumo" sheetId="30" r:id="rId2"/>
    <sheet name="UNIFORMES" sheetId="36" r:id="rId3"/>
    <sheet name="Materiais" sheetId="31" r:id="rId4"/>
    <sheet name="UTENSÍLIOS" sheetId="33" r:id="rId5"/>
    <sheet name="EQUIPAMENTOS" sheetId="34" r:id="rId6"/>
  </sheets>
  <calcPr calcId="152511"/>
</workbook>
</file>

<file path=xl/calcChain.xml><?xml version="1.0" encoding="utf-8"?>
<calcChain xmlns="http://schemas.openxmlformats.org/spreadsheetml/2006/main">
  <c r="D110" i="37" l="1"/>
  <c r="C97" i="37"/>
  <c r="D96" i="37" l="1"/>
  <c r="C75" i="37" l="1"/>
  <c r="C135" i="37" l="1"/>
  <c r="C136" i="37" s="1"/>
  <c r="D60" i="30"/>
  <c r="O15" i="34"/>
  <c r="O14" i="34"/>
  <c r="O13" i="34"/>
  <c r="C54" i="30" l="1"/>
  <c r="C42" i="37" l="1"/>
  <c r="D216" i="37"/>
  <c r="D215" i="37"/>
  <c r="D214" i="37"/>
  <c r="E204" i="37"/>
  <c r="C204" i="37"/>
  <c r="C196" i="37"/>
  <c r="C188" i="37"/>
  <c r="C163" i="37"/>
  <c r="D118" i="37"/>
  <c r="C124" i="37" s="1"/>
  <c r="D117" i="37"/>
  <c r="D111" i="37"/>
  <c r="D109" i="37"/>
  <c r="D108" i="37"/>
  <c r="D107" i="37"/>
  <c r="D106" i="37"/>
  <c r="C98" i="37"/>
  <c r="D98" i="37" s="1"/>
  <c r="C96" i="37"/>
  <c r="D95" i="37"/>
  <c r="C95" i="37"/>
  <c r="C94" i="37"/>
  <c r="D94" i="37" s="1"/>
  <c r="C76" i="37"/>
  <c r="C80" i="37"/>
  <c r="C87" i="37" s="1"/>
  <c r="C70" i="37"/>
  <c r="D69" i="37"/>
  <c r="D68" i="37"/>
  <c r="D67" i="37"/>
  <c r="D66" i="37"/>
  <c r="D65" i="37"/>
  <c r="D64" i="37"/>
  <c r="D63" i="37"/>
  <c r="D70" i="37" s="1"/>
  <c r="C86" i="37" s="1"/>
  <c r="D62" i="37"/>
  <c r="C57" i="37"/>
  <c r="D56" i="37"/>
  <c r="D57" i="37" s="1"/>
  <c r="C85" i="37" s="1"/>
  <c r="D55" i="37"/>
  <c r="C41" i="37"/>
  <c r="C48" i="37" s="1"/>
  <c r="C21" i="37"/>
  <c r="C25" i="37" s="1"/>
  <c r="O29" i="33"/>
  <c r="O28" i="33"/>
  <c r="O28" i="31"/>
  <c r="O27" i="31"/>
  <c r="O10" i="36"/>
  <c r="O12" i="34"/>
  <c r="O4" i="34"/>
  <c r="O5" i="34"/>
  <c r="O6" i="34"/>
  <c r="O7" i="34"/>
  <c r="O8" i="34"/>
  <c r="O9" i="34"/>
  <c r="O10" i="34"/>
  <c r="O11" i="34"/>
  <c r="O3" i="34"/>
  <c r="N4" i="34"/>
  <c r="N5" i="34"/>
  <c r="N6" i="34"/>
  <c r="N7" i="34"/>
  <c r="N8" i="34"/>
  <c r="N9" i="34"/>
  <c r="N10" i="34"/>
  <c r="N11" i="34"/>
  <c r="N3" i="34"/>
  <c r="O27" i="33"/>
  <c r="O4" i="33"/>
  <c r="O5" i="33"/>
  <c r="O6" i="33"/>
  <c r="O7" i="33"/>
  <c r="O8" i="33"/>
  <c r="O9" i="33"/>
  <c r="O10" i="33"/>
  <c r="O11" i="33"/>
  <c r="O12" i="33"/>
  <c r="O13" i="33"/>
  <c r="O14" i="33"/>
  <c r="O15" i="33"/>
  <c r="O16" i="33"/>
  <c r="O17" i="33"/>
  <c r="O18" i="33"/>
  <c r="O19" i="33"/>
  <c r="O20" i="33"/>
  <c r="O21" i="33"/>
  <c r="O22" i="33"/>
  <c r="O23" i="33"/>
  <c r="O24" i="33"/>
  <c r="O25" i="33"/>
  <c r="O26" i="33"/>
  <c r="O3" i="33"/>
  <c r="N4" i="33"/>
  <c r="N5" i="33"/>
  <c r="N6" i="33"/>
  <c r="N7" i="33"/>
  <c r="N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3" i="33"/>
  <c r="O26" i="31"/>
  <c r="O4" i="31"/>
  <c r="O5" i="31"/>
  <c r="O6" i="31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3" i="31"/>
  <c r="N4" i="31"/>
  <c r="N5" i="31"/>
  <c r="N6" i="31"/>
  <c r="N7" i="31"/>
  <c r="N8" i="31"/>
  <c r="N9" i="31"/>
  <c r="N10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3" i="31"/>
  <c r="O9" i="36"/>
  <c r="O4" i="36"/>
  <c r="O5" i="36"/>
  <c r="O6" i="36"/>
  <c r="O7" i="36"/>
  <c r="O8" i="36"/>
  <c r="O3" i="36"/>
  <c r="N4" i="36"/>
  <c r="N5" i="36"/>
  <c r="N6" i="36"/>
  <c r="N7" i="36"/>
  <c r="N8" i="36"/>
  <c r="N3" i="36"/>
  <c r="C125" i="37" l="1"/>
  <c r="C162" i="37" s="1"/>
  <c r="D97" i="37"/>
  <c r="D99" i="37" s="1"/>
  <c r="C161" i="37" s="1"/>
  <c r="C159" i="37"/>
  <c r="D93" i="37"/>
  <c r="G204" i="37"/>
  <c r="D217" i="37"/>
  <c r="C88" i="37"/>
  <c r="C160" i="37" s="1"/>
  <c r="M21" i="31"/>
  <c r="M12" i="31"/>
  <c r="M3" i="31"/>
  <c r="J22" i="31"/>
  <c r="J10" i="34"/>
  <c r="J23" i="31"/>
  <c r="J8" i="31"/>
  <c r="J7" i="31"/>
  <c r="J3" i="31"/>
  <c r="C164" i="37" l="1"/>
  <c r="D142" i="37"/>
  <c r="D143" i="37"/>
  <c r="G10" i="34"/>
  <c r="G25" i="31"/>
  <c r="D148" i="37" l="1"/>
  <c r="D146" i="37"/>
  <c r="D145" i="37"/>
  <c r="C48" i="30"/>
  <c r="E43" i="30"/>
  <c r="E42" i="30"/>
  <c r="E41" i="30"/>
  <c r="C37" i="30"/>
  <c r="E37" i="30" s="1"/>
  <c r="C36" i="30"/>
  <c r="E36" i="30" s="1"/>
  <c r="E35" i="30"/>
  <c r="C35" i="30"/>
  <c r="D150" i="37" l="1"/>
  <c r="C165" i="37" s="1"/>
  <c r="C166" i="37" s="1"/>
  <c r="D188" i="37" s="1"/>
  <c r="E188" i="37" s="1"/>
  <c r="E214" i="37" s="1"/>
  <c r="G214" i="37" s="1"/>
  <c r="E16" i="30"/>
  <c r="E15" i="30"/>
  <c r="E14" i="30"/>
  <c r="B16" i="30"/>
  <c r="B15" i="30"/>
  <c r="D15" i="30" s="1"/>
  <c r="B14" i="30"/>
  <c r="D14" i="30" s="1"/>
  <c r="D5" i="30"/>
  <c r="D4" i="30"/>
  <c r="D3" i="30"/>
  <c r="H204" i="37" l="1"/>
  <c r="I204" i="37" s="1"/>
  <c r="E216" i="37" s="1"/>
  <c r="G216" i="37" s="1"/>
  <c r="D196" i="37"/>
  <c r="E196" i="37" s="1"/>
  <c r="E215" i="37" s="1"/>
  <c r="G215" i="37" s="1"/>
  <c r="C172" i="37"/>
  <c r="E172" i="37" s="1"/>
  <c r="H172" i="37" s="1"/>
  <c r="C181" i="37" s="1"/>
  <c r="F14" i="30"/>
  <c r="F16" i="30"/>
  <c r="F15" i="30"/>
  <c r="F17" i="30" s="1"/>
  <c r="D16" i="30"/>
  <c r="D17" i="30" s="1"/>
  <c r="G217" i="37" l="1"/>
  <c r="C182" i="37"/>
  <c r="D6" i="30"/>
  <c r="D7" i="30" s="1"/>
</calcChain>
</file>

<file path=xl/comments1.xml><?xml version="1.0" encoding="utf-8"?>
<comments xmlns="http://schemas.openxmlformats.org/spreadsheetml/2006/main">
  <authors>
    <author>DAILZA VENTURA DOS SANTOS</author>
  </authors>
  <commentList>
    <comment ref="B64" authorId="0" shapeId="0">
      <text>
        <r>
          <rPr>
            <b/>
            <sz val="9"/>
            <color indexed="81"/>
            <rFont val="Segoe UI"/>
            <family val="2"/>
          </rPr>
          <t>O SAT a depender do grau de risco do serviço irá variar entre 1%, para risco leve, de 2%, para risco médio, e de 3% de risco grave.</t>
        </r>
      </text>
    </comment>
    <comment ref="D93" authorId="0" shapeId="0">
      <text>
        <r>
          <rPr>
            <b/>
            <sz val="9"/>
            <color indexed="81"/>
            <rFont val="Segoe UI"/>
            <charset val="1"/>
          </rPr>
          <t>Base de Cálculo: Módulo 1 + Módulo 2 (sem o GPS)*0,42%</t>
        </r>
      </text>
    </comment>
    <comment ref="C96" authorId="0" shapeId="0">
      <text>
        <r>
          <rPr>
            <b/>
            <sz val="9"/>
            <color indexed="81"/>
            <rFont val="Segoe UI"/>
            <charset val="1"/>
          </rPr>
          <t>Deverá ser zerado no 2º ano de contrato</t>
        </r>
      </text>
    </comment>
    <comment ref="D107" authorId="0" shapeId="0">
      <text>
        <r>
          <rPr>
            <b/>
            <sz val="9"/>
            <color indexed="81"/>
            <rFont val="Segoe UI"/>
            <family val="2"/>
          </rPr>
          <t xml:space="preserve">Base de Cálculo: Módulo1+Módulo2+Módulo3 / 22 (dias trabalhados)
</t>
        </r>
      </text>
    </comment>
  </commentList>
</comments>
</file>

<file path=xl/sharedStrings.xml><?xml version="1.0" encoding="utf-8"?>
<sst xmlns="http://schemas.openxmlformats.org/spreadsheetml/2006/main" count="738" uniqueCount="375">
  <si>
    <t>Discriminação dos Serviços (dados referentes à contratação)</t>
  </si>
  <si>
    <t>A</t>
  </si>
  <si>
    <t>Data da apresentação da proposta (dia/mês/ano)</t>
  </si>
  <si>
    <t>B</t>
  </si>
  <si>
    <t>Município / UF</t>
  </si>
  <si>
    <t>C</t>
  </si>
  <si>
    <t>Ano Acordo, Convenção ou Sentença Normativa em Dissídio Coletivo</t>
  </si>
  <si>
    <t>D</t>
  </si>
  <si>
    <t>Nº de meses de execução contratual</t>
  </si>
  <si>
    <t>Dados complementares para composição dos custos referente à mão-de-obra</t>
  </si>
  <si>
    <t xml:space="preserve">Tipo de serviço (mesmo serviço com características distintas) </t>
  </si>
  <si>
    <t>Categoria Profissional (vinculada à execução contratual)</t>
  </si>
  <si>
    <t>Data base da categoria (dia / mês / ano)</t>
  </si>
  <si>
    <t>Módulo 1: COMPOSIÇÃO DA REMUNERAÇÃO</t>
  </si>
  <si>
    <t>Composição da Remuneração</t>
  </si>
  <si>
    <t>Valor (R$)</t>
  </si>
  <si>
    <t xml:space="preserve">Salário Base </t>
  </si>
  <si>
    <t>Adicional de insalubridade</t>
  </si>
  <si>
    <t xml:space="preserve">Adicional noturno </t>
  </si>
  <si>
    <t>E</t>
  </si>
  <si>
    <t>F</t>
  </si>
  <si>
    <t>G</t>
  </si>
  <si>
    <t>H</t>
  </si>
  <si>
    <t>Total da Remuneração</t>
  </si>
  <si>
    <t>Benefícios Mensais e Diários</t>
  </si>
  <si>
    <t>Total dos Benefícios Mensais e Diários</t>
  </si>
  <si>
    <t>Total de Benefícios mensais e diários</t>
  </si>
  <si>
    <t>Uniformes</t>
  </si>
  <si>
    <t xml:space="preserve">Materiais </t>
  </si>
  <si>
    <t>Total de Insumos diversos</t>
  </si>
  <si>
    <t>4.1</t>
  </si>
  <si>
    <t>4.2</t>
  </si>
  <si>
    <t>TOTAL</t>
  </si>
  <si>
    <t>Afastamento Maternidade</t>
  </si>
  <si>
    <t>Provisão para Rescisão</t>
  </si>
  <si>
    <t>Outros (especificar)</t>
  </si>
  <si>
    <t>Custos Indiretos, Tributos e Lucro</t>
  </si>
  <si>
    <t>Custos Indiretos</t>
  </si>
  <si>
    <t>Módulo 1 - Composição da Remuneração</t>
  </si>
  <si>
    <t>13º (décimo terceiro) Salário</t>
  </si>
  <si>
    <t>LIMPEZA E CONSERVAÇÃO</t>
  </si>
  <si>
    <t>LIMPEZA</t>
  </si>
  <si>
    <t>Outros (UTENSÍLIOS)</t>
  </si>
  <si>
    <t>Outros</t>
  </si>
  <si>
    <r>
      <t xml:space="preserve">Adicional de periculosidade    </t>
    </r>
    <r>
      <rPr>
        <b/>
        <sz val="9"/>
        <color indexed="8"/>
        <rFont val="Calibri"/>
        <family val="2"/>
      </rPr>
      <t>( 30%)</t>
    </r>
  </si>
  <si>
    <t>Ausência por acidente de trabalho</t>
  </si>
  <si>
    <t>Valor mensal do serviço</t>
  </si>
  <si>
    <t>Mão de Obra</t>
  </si>
  <si>
    <t>(1) Produtividade (1/m2)</t>
  </si>
  <si>
    <t>(2) Preço Homem-Mês (R$)</t>
  </si>
  <si>
    <t>(1x2) Subtotal (R$/M2)</t>
  </si>
  <si>
    <t>Servente</t>
  </si>
  <si>
    <t>Total</t>
  </si>
  <si>
    <t>(2) Frequência no Mês (horas)</t>
  </si>
  <si>
    <t>(3)
JORNADA DE TRABALHO NO MÊS (HORAS)</t>
  </si>
  <si>
    <t xml:space="preserve">(4)
Ki=(1x2x3)
</t>
  </si>
  <si>
    <t>(5)
PREÇO HOMEM-MÊS
(R$)</t>
  </si>
  <si>
    <t xml:space="preserve">(4x5)
SUB-
TOTAL
(R$/M²)
</t>
  </si>
  <si>
    <t>TIPO</t>
  </si>
  <si>
    <t>METRAGEM</t>
  </si>
  <si>
    <t>Área Interna</t>
  </si>
  <si>
    <t>Área Externa</t>
  </si>
  <si>
    <t>Esquadrias</t>
  </si>
  <si>
    <t>Nº PROCESSO: 08520.</t>
  </si>
  <si>
    <r>
      <t xml:space="preserve">PREÇO MENSAL UNITÁRIO POR M² (metro quadrado) - </t>
    </r>
    <r>
      <rPr>
        <b/>
        <sz val="9"/>
        <color rgb="FFFF0000"/>
        <rFont val="Calibri"/>
        <family val="2"/>
        <scheme val="minor"/>
      </rPr>
      <t>ÁREA INTERNA</t>
    </r>
  </si>
  <si>
    <r>
      <t xml:space="preserve">PREÇO MENSAL UNITÁRIO POR M² (metro quadrado) - </t>
    </r>
    <r>
      <rPr>
        <b/>
        <sz val="9"/>
        <color rgb="FFFF0000"/>
        <rFont val="Calibri"/>
        <family val="2"/>
        <scheme val="minor"/>
      </rPr>
      <t>ÁREA EXTERNA</t>
    </r>
  </si>
  <si>
    <r>
      <t xml:space="preserve">PREÇO MENSAL UNITÁRIO POR M² (metro quadrado) - </t>
    </r>
    <r>
      <rPr>
        <b/>
        <sz val="9"/>
        <color rgb="FFFF0000"/>
        <rFont val="Calibri"/>
        <family val="2"/>
        <scheme val="minor"/>
      </rPr>
      <t>ESQUADRIA EXTERNA</t>
    </r>
  </si>
  <si>
    <t>(Fórmulas exemplificativas de cálculo para área interna - alíneas “a” do subitem 3.1. do Anexo VI-B da IN 05/2017; para as demais alíneas, deverão ser incluídos novos campos na planilha com a metragem adequada).</t>
  </si>
  <si>
    <t>(Fórmulas exemplificativas de cálculo para área interna - alíneas “A” do subitem 3.2. do Anexo VI-B da IN 05/2017; para as demais alíneas, deverão ser incluídos novos campos na planilha com a metragem adequada).</t>
  </si>
  <si>
    <t>(Fórmulas exemplificativas de cálculo para área interna - alíneas “B” do subitem 3.3. do Anexo VI-B da IN 05/2017; para as demais alíneas, deverão ser incluídos novos campos na planilha com a metragem adequada).</t>
  </si>
  <si>
    <t>ANEXO VII-D -  IN 05/2017-MPDG</t>
  </si>
  <si>
    <t>LICITAÇÃO Nº: Pregão Eletrônico nº 01/2018</t>
  </si>
  <si>
    <t>SESSÃO PÚBLICA: ____/____/2018  às    horas (Horário de Brasília/DF)</t>
  </si>
  <si>
    <t>___/____/2018</t>
  </si>
  <si>
    <t>SEAC/SE-2017</t>
  </si>
  <si>
    <t>IDENTIFICAÇÃO DO SERVIÇO</t>
  </si>
  <si>
    <t>TIPO DE SERVIÇO</t>
  </si>
  <si>
    <t>UNIDADE DE MEDIDA</t>
  </si>
  <si>
    <t>QUANTIDADE TOTAL A CONTROLAR (em função da unidade de medida)</t>
  </si>
  <si>
    <t>CBO 5143-20</t>
  </si>
  <si>
    <t>Salário Normativo da Categoria Profissional (CCT/2017-SEAC/SE Módulo 1)</t>
  </si>
  <si>
    <t>SERVENTE DE LIMPEZA</t>
  </si>
  <si>
    <t>Classificação Brasileira de Ocupações (CBO)</t>
  </si>
  <si>
    <t>Adicional de hora noturna reduzida</t>
  </si>
  <si>
    <t>Adicional de Hora Extra no feriado trabalhado</t>
  </si>
  <si>
    <t>Módulo 2: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</si>
  <si>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</si>
  <si>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</si>
  <si>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</si>
  <si>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Férias e Adicional de Férias</t>
  </si>
  <si>
    <t xml:space="preserve">TOTAL 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</si>
  <si>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</si>
  <si>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</si>
  <si>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</si>
  <si>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</si>
  <si>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</si>
  <si>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</si>
  <si>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</si>
  <si>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</si>
  <si>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</si>
  <si>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</si>
  <si>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INCRA</t>
  </si>
  <si>
    <t>FGTS</t>
  </si>
  <si>
    <t>Submódulo 2.3 - Benefícios Mensais e Diários.</t>
  </si>
  <si>
    <t>2.3</t>
  </si>
  <si>
    <t>Assistência Médica e Familiar</t>
  </si>
  <si>
    <t>Transporte R$ 3,50</t>
  </si>
  <si>
    <t xml:space="preserve">E </t>
  </si>
  <si>
    <r>
      <t>Auxílio-Refeição/Alimentação R$ 11,00 (Cláusula 12</t>
    </r>
    <r>
      <rPr>
        <vertAlign val="superscript"/>
        <sz val="9"/>
        <color theme="1"/>
        <rFont val="Calibri"/>
        <family val="2"/>
      </rPr>
      <t xml:space="preserve">a </t>
    </r>
    <r>
      <rPr>
        <sz val="9"/>
        <color theme="1"/>
        <rFont val="Calibri"/>
        <family val="2"/>
      </rPr>
      <t>SEAC/SE/2017)</t>
    </r>
  </si>
  <si>
    <r>
      <t>Auxílio Funeral (Cláusula 11</t>
    </r>
    <r>
      <rPr>
        <vertAlign val="superscript"/>
        <sz val="9"/>
        <color theme="1"/>
        <rFont val="Calibri"/>
        <family val="2"/>
        <scheme val="minor"/>
      </rPr>
      <t>a</t>
    </r>
    <r>
      <rPr>
        <sz val="9"/>
        <color theme="1"/>
        <rFont val="Calibri"/>
        <family val="2"/>
        <scheme val="minor"/>
      </rPr>
      <t xml:space="preserve"> SEAC/SE/2017)</t>
    </r>
  </si>
  <si>
    <r>
      <t>Plano odontológico coletivo (Cláusula 10</t>
    </r>
    <r>
      <rPr>
        <vertAlign val="superscript"/>
        <sz val="9"/>
        <color theme="1"/>
        <rFont val="Calibri"/>
        <family val="2"/>
      </rPr>
      <t>a</t>
    </r>
    <r>
      <rPr>
        <sz val="9"/>
        <color theme="1"/>
        <rFont val="Calibri"/>
        <family val="2"/>
      </rPr>
      <t xml:space="preserve"> SEAC/SE/2017)</t>
    </r>
  </si>
  <si>
    <t>Quadro-Resumo do Módulo 2 - Encargos e Benefícios anuais, mensais e diários</t>
  </si>
  <si>
    <t>Encargos e Benefícios Anuais, Mensais e Diários</t>
  </si>
  <si>
    <t>Módulo 3 - Provisão para Rescisão</t>
  </si>
  <si>
    <t>Aviso Prévio Indenizado</t>
  </si>
  <si>
    <t>Incidência do FGTS sobre o Aviso Prévio Indenizado</t>
  </si>
  <si>
    <t>Multa do FGTS e contribuição social sobre o Aviso Prévio Indenizado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</si>
  <si>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</si>
  <si>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</si>
  <si>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</si>
  <si>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</si>
  <si>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Ausências Legais</t>
  </si>
  <si>
    <t>Férias</t>
  </si>
  <si>
    <t>Licença-Paternidade</t>
  </si>
  <si>
    <t>Agente de Limpeza</t>
  </si>
  <si>
    <t>Submódulo 4.2 - Intrajornada</t>
  </si>
  <si>
    <t>Intrajornada</t>
  </si>
  <si>
    <t>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</si>
  <si>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</si>
  <si>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</si>
  <si>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</si>
  <si>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Lucro</t>
  </si>
  <si>
    <t>Tributos</t>
  </si>
  <si>
    <t>C.2. Tributos Estaduais (especificar)</t>
  </si>
  <si>
    <t>QUADRO-RESUMO DO CUSTO POR EMPREGADO</t>
  </si>
  <si>
    <t>Mão de obra vinculada à execução contratual (valor por empregado)</t>
  </si>
  <si>
    <t>Módulo 2 - Encargos e Benefícios Anuais, Mensais e Diários</t>
  </si>
  <si>
    <t>Módulo 5 - Insumos Diversos</t>
  </si>
  <si>
    <t>Subtotal (A + B +C+ D+E)</t>
  </si>
  <si>
    <t>Módulo 6 – Custos Indiretos, Tributos e Lucro</t>
  </si>
  <si>
    <t>QUADRO-RESUMO DO VALOR MENSAL DOS SERVIÇOS</t>
  </si>
  <si>
    <t>Tipo de Serviço (A)</t>
  </si>
  <si>
    <t>Valor Proposto por Empregado (B)</t>
  </si>
  <si>
    <t>Qtde. de Empregados por Posto (C)</t>
  </si>
  <si>
    <t>Valor Proposto por Posto</t>
  </si>
  <si>
    <t>(D) = (B x C)</t>
  </si>
  <si>
    <t>Qtde. de Postos (E)</t>
  </si>
  <si>
    <t>Valor Total do Serviço</t>
  </si>
  <si>
    <t>(F) = (D x E)</t>
  </si>
  <si>
    <t>I</t>
  </si>
  <si>
    <t>QUADRO DEMONSTRATIVO DO VALOR GLOBAL DA PROPOSTA</t>
  </si>
  <si>
    <t>VALOR GLOBAL DA PROPOSTA</t>
  </si>
  <si>
    <t>DESCRIÇÃO</t>
  </si>
  <si>
    <t>VALOR (R$)</t>
  </si>
  <si>
    <t>Valor proposto por unidade de medida *</t>
  </si>
  <si>
    <t>Valor global da proposta (Valor mensal do serviço multiplicado pelo número de meses do contrato).</t>
  </si>
  <si>
    <t>1. Divisão de 1 (servente) pela metragem (300)</t>
  </si>
  <si>
    <t>4. Multiplicar 1x2x3 (produtividade x frequência x jornada)</t>
  </si>
  <si>
    <t>5. Multiplica o 4x5</t>
  </si>
  <si>
    <t>1. Divisão de 1 (servente) pela metragem (800)</t>
  </si>
  <si>
    <t>1. Divisão de 1 (servente) pela metragem (1800)</t>
  </si>
  <si>
    <r>
      <t>6. Resultado do valor do por m</t>
    </r>
    <r>
      <rPr>
        <vertAlign val="superscript"/>
        <sz val="9"/>
        <color theme="1"/>
        <rFont val="Calibri"/>
        <family val="2"/>
        <scheme val="minor"/>
      </rPr>
      <t xml:space="preserve">2 </t>
    </r>
    <r>
      <rPr>
        <sz val="9"/>
        <color theme="1"/>
        <rFont val="Calibri"/>
        <family val="2"/>
        <scheme val="minor"/>
      </rPr>
      <t>limpo</t>
    </r>
  </si>
  <si>
    <t>%</t>
  </si>
  <si>
    <t>Qtde. de postos (E)</t>
  </si>
  <si>
    <t>QTDE TOTAL A CONTRATAR</t>
  </si>
  <si>
    <t>UNIDADE DE MEDIDA M2</t>
  </si>
  <si>
    <t xml:space="preserve">ÁREA INTERNA </t>
  </si>
  <si>
    <t>ÁREA EXTERNA</t>
  </si>
  <si>
    <t>ÁREA ESQUADRIAS</t>
  </si>
  <si>
    <t>MÓDULO 6 - CUSTOS INDIRETOS, TRIBUTOS E LUCRO</t>
  </si>
  <si>
    <t>INSUMOS DIVERSOS</t>
  </si>
  <si>
    <t>C.3. Tributos Municipais (ISS 5%)</t>
  </si>
  <si>
    <t>C.1. Tributos Federais (PIS 1,65%)</t>
  </si>
  <si>
    <t>C.1. Tributos Federais (COFINS 7,60%)</t>
  </si>
  <si>
    <t>Nota (1): Custos Indiretos, Tributos e Lucro por empregado.</t>
  </si>
  <si>
    <t>Nota (2): O valor referente a tributos é obtido aplicando-se o percentual sobre o valor do faturamento.</t>
  </si>
  <si>
    <t>Coeficiente:(1- % tributos ) : 1- 0,1425 = 0,8575</t>
  </si>
  <si>
    <t>TOTAL DE TRIBUTOS</t>
  </si>
  <si>
    <t>TOTAL DOS CUSTOS INDIRETOS, TRIBUTOS E LUCRO</t>
  </si>
  <si>
    <t>VALOR TOTAL POR EMPREGADO</t>
  </si>
  <si>
    <t>ARACAJU/SE</t>
  </si>
  <si>
    <t>VALOR M2 - MPOG</t>
  </si>
  <si>
    <t>TOTAL MPOG</t>
  </si>
  <si>
    <t>TOTAL PF</t>
  </si>
  <si>
    <t>VALOR SRPFSE</t>
  </si>
  <si>
    <t>2. Considerando 2 dias de trabalho de 8h</t>
  </si>
  <si>
    <t>TIPO DE ÁREA</t>
  </si>
  <si>
    <t>ÁREA CONVERTIDA (m²)</t>
  </si>
  <si>
    <t>SUBTOTAL (R$)</t>
  </si>
  <si>
    <t>I - Área Interna</t>
  </si>
  <si>
    <t>II - Área Externa</t>
  </si>
  <si>
    <t>III - Esquadria Externa</t>
  </si>
  <si>
    <t>TOTAL MENSAL</t>
  </si>
  <si>
    <t>TOTAL ANUAL</t>
  </si>
  <si>
    <t>ARACAJU/SE - SEM adicional de periculosidade</t>
  </si>
  <si>
    <t>Interna</t>
  </si>
  <si>
    <t>Externa</t>
  </si>
  <si>
    <t>Esquadrias externas</t>
  </si>
  <si>
    <t>CARGA HORÁRIA DIÁRIA</t>
  </si>
  <si>
    <t>HORA</t>
  </si>
  <si>
    <r>
      <t>METRAGEM MÍNIMA M</t>
    </r>
    <r>
      <rPr>
        <b/>
        <vertAlign val="superscript"/>
        <sz val="10"/>
        <color rgb="FF000000"/>
        <rFont val="Calibri"/>
        <family val="2"/>
        <scheme val="minor"/>
      </rPr>
      <t>2</t>
    </r>
  </si>
  <si>
    <r>
      <t>PRODUTIVIDADE POR HORA M</t>
    </r>
    <r>
      <rPr>
        <b/>
        <vertAlign val="superscript"/>
        <sz val="10"/>
        <color rgb="FF000000"/>
        <rFont val="Calibri"/>
        <family val="2"/>
        <scheme val="minor"/>
      </rPr>
      <t>2</t>
    </r>
  </si>
  <si>
    <r>
      <t>PRODUTIVIDADE DIÁRIA M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</si>
  <si>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CARGA HORÁRIA DIÁRIA AJUSTADA</t>
  </si>
  <si>
    <r>
      <t>PRODUTIVIDADE DIÁRIA M</t>
    </r>
    <r>
      <rPr>
        <b/>
        <vertAlign val="superscript"/>
        <sz val="10"/>
        <color theme="1"/>
        <rFont val="Calibri"/>
        <family val="2"/>
        <scheme val="minor"/>
      </rPr>
      <t xml:space="preserve">2 </t>
    </r>
    <r>
      <rPr>
        <b/>
        <sz val="10"/>
        <color theme="1"/>
        <rFont val="Calibri"/>
        <family val="2"/>
        <scheme val="minor"/>
      </rPr>
      <t>AJUSTADA</t>
    </r>
  </si>
  <si>
    <t>ÁREA</t>
  </si>
  <si>
    <t>PREÇO UNITÁRIO (R$/m²)</t>
  </si>
  <si>
    <t>PRODUTIVIDADE DIÁRIS 8H48</t>
  </si>
  <si>
    <t>ITEM</t>
  </si>
  <si>
    <t>MATERIAL</t>
  </si>
  <si>
    <t>UNIDADE</t>
  </si>
  <si>
    <t>Álcool em gel 65% INPM, neutro/eucalipto, frasco com 500 g - 1ª qualidade</t>
  </si>
  <si>
    <t>frasco</t>
  </si>
  <si>
    <t>Galão</t>
  </si>
  <si>
    <t>Aromatizante de ambiente líquido, aerossol, frasco com 400 ml - 1ª qualidade</t>
  </si>
  <si>
    <t>unidade</t>
  </si>
  <si>
    <t>Aromatizante sólido para uso em vaso sanitário</t>
  </si>
  <si>
    <t>galão</t>
  </si>
  <si>
    <t>DESINFETANTE para uso geral bruto, com ação germicida, bactericida e fungicida, superconcentrado. Galão 5 L</t>
  </si>
  <si>
    <t>Detergente biodegradável para lavar louça, frasco 500 ml</t>
  </si>
  <si>
    <t>ESPONJA sintética, dupla face, um lado em espuma poliuretano e outro em fibra sintética abrasiva, dimensões 100 x 70 x 20 mm, com variação de +/- 10 mm. Embalagem com dados de identificação do produto e marca do fabricante.</t>
  </si>
  <si>
    <t>FLANELA, 100% algodão, branca para uso geral de 60 x 40 cm.</t>
  </si>
  <si>
    <t>Luvas de látex natural, tamanho P M,G, forrada, formato anatômico, palma antiderrapante, espessura 0,55 mm, cano longo</t>
  </si>
  <si>
    <t>par</t>
  </si>
  <si>
    <t>pacote</t>
  </si>
  <si>
    <t>Pano de chão, de saco alvejado especial 40x70, para limpeza de piso - cor branca.</t>
  </si>
  <si>
    <t>caixa</t>
  </si>
  <si>
    <t>Papel toalha Inter folhado, liso, na cor branca, com 02 (duas) dobras, medindo 23x21 cm, fardo com 05 pacotes contendo 1.000 folhas - 1ª qualidade</t>
  </si>
  <si>
    <t>fardo</t>
  </si>
  <si>
    <t>Sabão em barra neutro de 200 g, pacote com 05 unidades</t>
  </si>
  <si>
    <t>SABÃO EM PÓ, com tenso ativo biodegradável. Embalagem com 1 quilo, contendo dados do fabricante, data de fabricação, prazo de validade e composição química. O produto deverá ter registro no Ministério da Saúde.</t>
  </si>
  <si>
    <t>Sabonete líquido concentrado perfumado, com emoliente, galão com 05 litros</t>
  </si>
  <si>
    <t>Saco plástico para lixo, na cor preta, com capacidade para 100 LITROS, 07 micras, deverá estar de acordo com as normas da ABNT NBR 9190,9191, 9195, 14474 e 13056. As embalagens deverão ter todas as especificações.</t>
  </si>
  <si>
    <r>
      <t>CERA IMPERMEABILIZANTE ACRÍLICO de proteção e resistência prolongada a pisos laváveis e pisos com grande tráfego, com alto brilho, ANTIDERRAPANTE, concentração retrátil de 50%</t>
    </r>
    <r>
      <rPr>
        <b/>
        <sz val="8"/>
        <color rgb="FF000000"/>
        <rFont val="Calibri"/>
        <family val="2"/>
      </rPr>
      <t xml:space="preserve"> Incolor e brilhante</t>
    </r>
    <r>
      <rPr>
        <sz val="8"/>
        <color rgb="FF000000"/>
        <rFont val="Calibri"/>
        <family val="2"/>
      </rPr>
      <t>. (Galão de 5 litros)</t>
    </r>
  </si>
  <si>
    <t>UTENSÍLIOS</t>
  </si>
  <si>
    <t>QTD. ANUAL</t>
  </si>
  <si>
    <t>Balde em material plástico, polietileno de alta densidade, alta resistência a impacto, paredes e fundo reforçados, reforço no encaixe da alça,  capacidade 12 litros. Cor preta</t>
  </si>
  <si>
    <t>Desentupidor de Pia, feito em polipropileno e borracha. Aprox. 18cm x11,5cm, x11,5cm.</t>
  </si>
  <si>
    <t>Desentupidor de Vaso Sanitário, borracha entrusada bola, com cabo de madeira plastificado longo</t>
  </si>
  <si>
    <t>Dispensador para papel toalha interfolhas em plástico ABS</t>
  </si>
  <si>
    <t>Dispensador para sabonete líquido em plástico ABS, capacidade mínima do reservatório 800 ml</t>
  </si>
  <si>
    <t>Escova para lavar tecido modelo grande com cerdas de nylon rígidas, formato oval</t>
  </si>
  <si>
    <t>Espanador de pó, penas de aves. Com cabo de madeira.</t>
  </si>
  <si>
    <t>unidades</t>
  </si>
  <si>
    <t>Lixeira 100 L, Tipo balde, com alças nas laterais, na cor Preta, Material em plástico, com tampa basculante. Diâmetro: 51cm altura: 69cm</t>
  </si>
  <si>
    <t>Lixeira Basculante 60L/50 L, na cor marrom, adesivada para reciclagem de lixo orgânico, Formato quadrado, material plástico. Com tampa.</t>
  </si>
  <si>
    <t>Lixeira para escritório/ cesto para papéis, material em plástico/PVC, cor preta, sem rede, sem tela, sem tampa, e sem furo, capacidade 15 L. Material plástico.</t>
  </si>
  <si>
    <t>Pá coletora de lixo, de plástico, com cabo de 80 cm</t>
  </si>
  <si>
    <t>Rodo de plástico com perfil duplo, 40 cm de largura, com cabo em madeira e para limpeza de chão</t>
  </si>
  <si>
    <t>Rodo de plástico com perfil duplo, 60 cm de largura, com cabo em madeira - para limpeza de chão</t>
  </si>
  <si>
    <t>Suporte dispenser para copo descartável de água 180/200 ml - com capacidade mínima de 100 copos, suporte modelo poupa Copo.</t>
  </si>
  <si>
    <t>Vassoura de pêlo com 40 cm de largura, com cabo</t>
  </si>
  <si>
    <t>Vassoura de nylon de plástico com 40 cm de largura, com cabo</t>
  </si>
  <si>
    <t>Vassoura para vasculhar teto, SISAL, com cabo longo de 2 metros</t>
  </si>
  <si>
    <t>Aspirador de pó e líquidos profissional, capacidade mínima 50 litros, com mangueira, prolongadores reto, bocal para canto, bocal para estofado, bocal para estofado, filtro; 110/220 V</t>
  </si>
  <si>
    <t>Compressor para jato d’água – lavadora de alta pressão</t>
  </si>
  <si>
    <t>Enceradeira de grande porte, tipo Bandeirantes ou similar, descrição mínima: com escova 300 mm, motor elétrico 0,50 HP, tensão 110/220 V, capacidade operacional mínima 900 m², acompanha escova de nylon</t>
  </si>
  <si>
    <t>Placa Sinalizadora " Cuidado Piso Molhado" Tipo cavalete articulado Produzidas em polipropileno de alta resistência na cor amarela que representa atenção. Com o aviso impresso nos dois lados da placa.</t>
  </si>
  <si>
    <t>UNIFORMES ANUAL POR EMPREGADO</t>
  </si>
  <si>
    <t>Calça de segurança jeans/brim com elástico, confeccionada em algodão, cor azul marinho</t>
  </si>
  <si>
    <t>Camiseta pólo, tecido Malha Fria / Malha Piquet, manga curta, cor azul celeste</t>
  </si>
  <si>
    <t>Tênis de segurança, em couro / vaqueta relax, com cadarço, solado PU.</t>
  </si>
  <si>
    <t>Bota de polimérico termoplástico impermeável com forro, emborrachado, solado antiderrapante.</t>
  </si>
  <si>
    <t>Meias, padrão sport, tecido Algodão, cor preta / azul escuro / branca</t>
  </si>
  <si>
    <t>QUANTIDADE /ANO</t>
  </si>
  <si>
    <t>PAR</t>
  </si>
  <si>
    <t>LICITAÇÃO</t>
  </si>
  <si>
    <t>UASG</t>
  </si>
  <si>
    <t>VALOR UNIT</t>
  </si>
  <si>
    <t>PREÇO 01</t>
  </si>
  <si>
    <t>PREÇO 03</t>
  </si>
  <si>
    <t>PREÇO 02</t>
  </si>
  <si>
    <t>VALOR TOTAL</t>
  </si>
  <si>
    <t>MÉDIA UNITÁRIA</t>
  </si>
  <si>
    <t>.05/2017</t>
  </si>
  <si>
    <r>
      <t>Escada de abrir (em V),</t>
    </r>
    <r>
      <rPr>
        <b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em alumínio ENTRE 6 E 8 degraus, pés antiderrapantes, sapatas de borracha.</t>
    </r>
  </si>
  <si>
    <t>Vassourão com 40cm, com cabo</t>
  </si>
  <si>
    <t>PE 13/2017 UASG 1700078</t>
  </si>
  <si>
    <t>.13/2017</t>
  </si>
  <si>
    <t>Loção limpa vidros, 500ml</t>
  </si>
  <si>
    <t>Limpador istantâneo multiuso, 500ml</t>
  </si>
  <si>
    <t>Água sanitária com teor de cloro ativo entre 2,0 a 2,5% p/p - 1ª qualidade. Garrafão 5L</t>
  </si>
  <si>
    <t>Palha de aço, material aço carbono, abrasividade alta, aplicação limpeza em geral. PACOTE COM 8 UNIDADES</t>
  </si>
  <si>
    <t>Escovinha para vaso sanitário, plástico, nylon, com suporte</t>
  </si>
  <si>
    <t>KIT UNGER P/ LIMPEZA DE VIDRO</t>
  </si>
  <si>
    <t xml:space="preserve">.25/2017 </t>
  </si>
  <si>
    <t>.55/2017</t>
  </si>
  <si>
    <t>LUSTRA MÓVEIS, Loção perfumada,  frasco com 500 ml</t>
  </si>
  <si>
    <t>DISPENSER PARA PROTETOR DE ASSENTO SANITÁRIO</t>
  </si>
  <si>
    <t>Mangueira plástica em poliéster reforçado com tela, com cumprimento mínimo de 100 m, com esguicho engate rápido, e suporte ³/4, COM CARRINHO PARA ENROLAR MANGUEIRA</t>
  </si>
  <si>
    <t>PE 25/2017 UASG 974004</t>
  </si>
  <si>
    <t>.134/2017</t>
  </si>
  <si>
    <t>.139/2017</t>
  </si>
  <si>
    <t>.154/2017</t>
  </si>
  <si>
    <t>.449/2017</t>
  </si>
  <si>
    <t>PE 449/2017 UASG 393024</t>
  </si>
  <si>
    <t>.52/2017</t>
  </si>
  <si>
    <t>Carro Coletor de lixo 120 Litros com rodas, em plástico.</t>
  </si>
  <si>
    <t>.25/2017</t>
  </si>
  <si>
    <t>DL 71/2017</t>
  </si>
  <si>
    <t>Extensão elétrica  20 metros, com pino macho e fêmea. Com conectores compatíveis para uso dos demais equipamentos elétricos fornecidos pela empresa.</t>
  </si>
  <si>
    <t>.12/2017</t>
  </si>
  <si>
    <t>.141/2017</t>
  </si>
  <si>
    <t>.49/2017</t>
  </si>
  <si>
    <t>COLETOR COPO PLÁSTICO, MATERIAL PVC- CLORETO DE POLIVINILA, ALTURA 70 CM, COR BRANCA, CARACTERÍSTICAS ADICIONAIS 1 BOCA ÁGUA E 1 BOCA CAFÉ, SUPORTE CHÃO CORPRETA, CAPACIDADE DE COPOS MÍNIMA 300 UM</t>
  </si>
  <si>
    <t>.46/2017</t>
  </si>
  <si>
    <t>.7/2017</t>
  </si>
  <si>
    <t>.9/2017</t>
  </si>
  <si>
    <t>.62/2017</t>
  </si>
  <si>
    <t>.1407/2017</t>
  </si>
  <si>
    <t>.16/2017</t>
  </si>
  <si>
    <t>DL 26/2017</t>
  </si>
  <si>
    <t>.148/2017</t>
  </si>
  <si>
    <t>.66/2017</t>
  </si>
  <si>
    <t>.20/2017</t>
  </si>
  <si>
    <t>.34/2017</t>
  </si>
  <si>
    <t>.19/2017</t>
  </si>
  <si>
    <t>.33/2017</t>
  </si>
  <si>
    <t>.03/2017</t>
  </si>
  <si>
    <t>.18/2017</t>
  </si>
  <si>
    <t>.24/2017</t>
  </si>
  <si>
    <t>.36/2017</t>
  </si>
  <si>
    <t>.06/2017</t>
  </si>
  <si>
    <t>.48/2017</t>
  </si>
  <si>
    <t>.68/2017</t>
  </si>
  <si>
    <t>.32/2017</t>
  </si>
  <si>
    <t>.09/2017</t>
  </si>
  <si>
    <t>Suporte dispenser para copo descartável de café 50/80 ml - com capacidade mínima de 100 copos, suporte modelo poupa Copo.</t>
  </si>
  <si>
    <t>.22/2017</t>
  </si>
  <si>
    <t>.61/2017</t>
  </si>
  <si>
    <t>.223/2017</t>
  </si>
  <si>
    <t>DL 110/2017</t>
  </si>
  <si>
    <t>.60/2017</t>
  </si>
  <si>
    <t>.10/2017</t>
  </si>
  <si>
    <t>.07/2017</t>
  </si>
  <si>
    <t>.11/2017</t>
  </si>
  <si>
    <r>
      <t>Dispensador de papel higiênico</t>
    </r>
    <r>
      <rPr>
        <sz val="8"/>
        <color theme="1"/>
        <rFont val="Calibri"/>
        <family val="2"/>
      </rPr>
      <t xml:space="preserve"> para rolos de 300 metros</t>
    </r>
  </si>
  <si>
    <t>DL 13/2017</t>
  </si>
  <si>
    <t>Papel higiênico macio, folha dupla, acabamento picotado, na cor branca, caixa com 8 rolos contendo 300 m cada</t>
  </si>
  <si>
    <t>Forro Protetor descartável para assento sanitário. Caixa c/ 40 unidades</t>
  </si>
  <si>
    <t>.02/2017</t>
  </si>
  <si>
    <t>Saco plástico para lixo, na cor preta, com capacidade para 20 LITROS ,07 micras, deverá estar de acordo com as normas da ABNT NBR 9190,9191, 9195, 14474 e 13056. As embalagens deverão ter todas as especificações. Pacote com 100 unidades</t>
  </si>
  <si>
    <t>.28/2017</t>
  </si>
  <si>
    <t>.1117/2017</t>
  </si>
  <si>
    <t>.37/2017</t>
  </si>
  <si>
    <t>.183/2017</t>
  </si>
  <si>
    <t>.92/2017</t>
  </si>
  <si>
    <t>.14/2017</t>
  </si>
  <si>
    <t>Crachá de identificação PVC, foto colorida e cordão</t>
  </si>
  <si>
    <t>DL 12/2017</t>
  </si>
  <si>
    <t>DL 10/2017</t>
  </si>
  <si>
    <t>VALOR TOTAL ANUAL</t>
  </si>
  <si>
    <t>VALOR TOTAL ANUAL POR SERVENTE</t>
  </si>
  <si>
    <t>VALOR MENSAL POR SERVENTE</t>
  </si>
  <si>
    <t xml:space="preserve">VALOR MENSAL </t>
  </si>
  <si>
    <t>VALOR MENSAL POR (5) SERVENTE</t>
  </si>
  <si>
    <t>VALOR MENSAL</t>
  </si>
  <si>
    <t>VALOR MENSAL POR (05) SERVENTE</t>
  </si>
  <si>
    <t>LICITAÇÃO REFERÊNCIA</t>
  </si>
  <si>
    <t>VALOR DO POSTO</t>
  </si>
  <si>
    <t>VALOR MÉDIO DO POSTO</t>
  </si>
  <si>
    <t>MOP  ÚMIDO</t>
  </si>
  <si>
    <r>
      <t xml:space="preserve">Equipamentos </t>
    </r>
    <r>
      <rPr>
        <b/>
        <sz val="9"/>
        <color rgb="FFFF0000"/>
        <rFont val="Calibri"/>
        <family val="2"/>
      </rPr>
      <t>(APENAS TAXA DEPRECIAÇÃO 10%)</t>
    </r>
    <r>
      <rPr>
        <b/>
        <sz val="9"/>
        <color indexed="8"/>
        <rFont val="Calibri"/>
        <family val="2"/>
      </rPr>
      <t xml:space="preserve"> </t>
    </r>
  </si>
  <si>
    <t>VALOR MENSAL DA TAXA DE DEPRECIAÇÃO</t>
  </si>
  <si>
    <t>DEPRECIAÇÃO ANUAL 10%</t>
  </si>
  <si>
    <t>EQUIPAMENTOS - DEPRECIAÇÃO 10% A.A.</t>
  </si>
  <si>
    <t>dedetização</t>
  </si>
  <si>
    <t>PREÇO METRO QUADRADO</t>
  </si>
  <si>
    <t>DEDETIZAÇÃO 2X a.a.</t>
  </si>
  <si>
    <t>Limpeza e Conservação</t>
  </si>
  <si>
    <t>metro quadrado</t>
  </si>
  <si>
    <t>3. Divisão de 1 (servente) pelo número de horas trabalhasdas por mês (188,76, que é um número definido pela IN 05/2017)</t>
  </si>
  <si>
    <t>PLANILHA DE CUSTOS E FORMAÇÃO DE PREÇOS - SR/DPF/SE - COM PERICULOSIDADE</t>
  </si>
  <si>
    <r>
      <t xml:space="preserve">Aviso Prévio Trabalhado. </t>
    </r>
    <r>
      <rPr>
        <b/>
        <sz val="9"/>
        <color rgb="FFFF0000"/>
        <rFont val="Calibri"/>
        <family val="2"/>
      </rPr>
      <t>O APT DEVERÁ SER ZERADO NO SEGUNDO ANO.</t>
    </r>
  </si>
  <si>
    <t>Valor Mensal dos Serviços (DEZESSEIS MIL SETECENTOS E SESSENTA E TRÊS REAIS E SETENTA E CINCO CENTAVOS)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</si>
</sst>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&quot;R$&quot;\ * #,##0.000000_-;\-&quot;R$&quot;\ * #,##0.000000_-;_-&quot;R$&quot;\ * &quot;-&quot;??_-;_-@_-"/>
    <numFmt numFmtId="167" formatCode="0_ ;\-0\ "/>
    <numFmt numFmtId="168" formatCode="0.000"/>
    <numFmt numFmtId="169" formatCode="0.0000"/>
    <numFmt numFmtId="170" formatCode="_-* #,##0.0000_-;\-* #,##0.0000_-;_-* &quot;-&quot;??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rgb="FFFF0000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indexed="81"/>
      <name val="Segoe UI"/>
      <family val="2"/>
    </font>
    <font>
      <vertAlign val="superscript"/>
      <sz val="9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1"/>
      <name val="Segoe UI"/>
      <charset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5" fillId="0" borderId="0" xfId="0" applyFont="1" applyAlignment="1" applyProtection="1">
      <alignment vertical="center"/>
    </xf>
    <xf numFmtId="0" fontId="6" fillId="0" borderId="0" xfId="0" applyFont="1"/>
    <xf numFmtId="0" fontId="5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5" fillId="0" borderId="2" xfId="0" applyFont="1" applyFill="1" applyBorder="1" applyAlignment="1" applyProtection="1">
      <alignment vertical="center" wrapText="1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Protection="1"/>
    <xf numFmtId="0" fontId="8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164" fontId="8" fillId="0" borderId="1" xfId="2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Protection="1"/>
    <xf numFmtId="0" fontId="9" fillId="3" borderId="1" xfId="0" applyFont="1" applyFill="1" applyBorder="1" applyAlignment="1" applyProtection="1">
      <alignment horizontal="center" vertical="center" wrapText="1"/>
    </xf>
    <xf numFmtId="0" fontId="8" fillId="0" borderId="0" xfId="0" applyFont="1" applyProtection="1">
      <protection locked="0"/>
    </xf>
    <xf numFmtId="164" fontId="8" fillId="0" borderId="1" xfId="2" applyFont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64" fontId="8" fillId="0" borderId="1" xfId="2" applyFont="1" applyFill="1" applyBorder="1" applyAlignment="1" applyProtection="1">
      <alignment horizontal="right" vertical="center" wrapText="1"/>
      <protection locked="0"/>
    </xf>
    <xf numFmtId="9" fontId="8" fillId="0" borderId="0" xfId="0" applyNumberFormat="1" applyFont="1" applyProtection="1">
      <protection locked="0"/>
    </xf>
    <xf numFmtId="164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/>
    <xf numFmtId="0" fontId="9" fillId="0" borderId="0" xfId="0" applyFont="1" applyBorder="1" applyAlignment="1" applyProtection="1">
      <alignment horizontal="center"/>
      <protection locked="0"/>
    </xf>
    <xf numFmtId="0" fontId="8" fillId="0" borderId="1" xfId="0" applyFont="1" applyFill="1" applyBorder="1" applyProtection="1">
      <protection locked="0"/>
    </xf>
    <xf numFmtId="0" fontId="8" fillId="0" borderId="1" xfId="0" applyFont="1" applyFill="1" applyBorder="1" applyAlignment="1" applyProtection="1">
      <protection locked="0"/>
    </xf>
    <xf numFmtId="164" fontId="8" fillId="0" borderId="1" xfId="2" applyFont="1" applyFill="1" applyBorder="1" applyAlignment="1" applyProtection="1">
      <alignment horizontal="right"/>
      <protection locked="0"/>
    </xf>
    <xf numFmtId="0" fontId="8" fillId="0" borderId="0" xfId="0" applyFont="1" applyFill="1" applyProtection="1">
      <protection locked="0"/>
    </xf>
    <xf numFmtId="2" fontId="8" fillId="0" borderId="0" xfId="0" applyNumberFormat="1" applyFont="1" applyFill="1" applyProtection="1">
      <protection locked="0"/>
    </xf>
    <xf numFmtId="0" fontId="4" fillId="0" borderId="1" xfId="0" applyFont="1" applyFill="1" applyBorder="1" applyAlignment="1" applyProtection="1">
      <alignment horizontal="center"/>
    </xf>
    <xf numFmtId="10" fontId="8" fillId="0" borderId="1" xfId="10" applyNumberFormat="1" applyFont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/>
    </xf>
    <xf numFmtId="164" fontId="9" fillId="0" borderId="0" xfId="2" applyFont="1" applyFill="1" applyBorder="1" applyAlignment="1" applyProtection="1">
      <alignment horizontal="right"/>
      <protection locked="0"/>
    </xf>
    <xf numFmtId="10" fontId="8" fillId="0" borderId="1" xfId="10" applyNumberFormat="1" applyFont="1" applyFill="1" applyBorder="1" applyAlignment="1" applyProtection="1">
      <alignment horizontal="center" vertical="center"/>
      <protection locked="0"/>
    </xf>
    <xf numFmtId="44" fontId="6" fillId="0" borderId="1" xfId="1" applyFont="1" applyFill="1" applyBorder="1" applyAlignment="1">
      <alignment vertical="center"/>
    </xf>
    <xf numFmtId="14" fontId="10" fillId="0" borderId="1" xfId="0" applyNumberFormat="1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/>
    </xf>
    <xf numFmtId="10" fontId="8" fillId="0" borderId="1" xfId="18" applyNumberFormat="1" applyFont="1" applyBorder="1" applyAlignment="1" applyProtection="1">
      <alignment horizontal="center" vertical="center"/>
      <protection locked="0"/>
    </xf>
    <xf numFmtId="0" fontId="6" fillId="0" borderId="0" xfId="0" applyFont="1" applyFill="1"/>
    <xf numFmtId="44" fontId="6" fillId="0" borderId="0" xfId="1" applyFont="1"/>
    <xf numFmtId="44" fontId="6" fillId="0" borderId="0" xfId="0" applyNumberFormat="1" applyFont="1"/>
    <xf numFmtId="0" fontId="9" fillId="0" borderId="1" xfId="0" applyFont="1" applyBorder="1" applyAlignment="1" applyProtection="1">
      <alignment horizontal="center" vertical="center" wrapText="1"/>
    </xf>
    <xf numFmtId="44" fontId="6" fillId="0" borderId="1" xfId="1" applyFont="1" applyBorder="1" applyAlignment="1">
      <alignment horizontal="center" vertical="center"/>
    </xf>
    <xf numFmtId="10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6" xfId="0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4" fontId="11" fillId="2" borderId="1" xfId="1" applyFont="1" applyFill="1" applyBorder="1"/>
    <xf numFmtId="44" fontId="11" fillId="6" borderId="1" xfId="0" applyNumberFormat="1" applyFont="1" applyFill="1" applyBorder="1"/>
    <xf numFmtId="0" fontId="6" fillId="0" borderId="1" xfId="0" applyFont="1" applyBorder="1"/>
    <xf numFmtId="166" fontId="6" fillId="0" borderId="1" xfId="1" applyNumberFormat="1" applyFont="1" applyBorder="1"/>
    <xf numFmtId="44" fontId="11" fillId="0" borderId="1" xfId="0" applyNumberFormat="1" applyFont="1" applyFill="1" applyBorder="1"/>
    <xf numFmtId="44" fontId="11" fillId="6" borderId="1" xfId="1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" fontId="6" fillId="0" borderId="1" xfId="1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11" fillId="5" borderId="1" xfId="0" applyNumberFormat="1" applyFont="1" applyFill="1" applyBorder="1"/>
    <xf numFmtId="0" fontId="13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 vertical="center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0" xfId="0" applyFont="1" applyFill="1" applyAlignment="1" applyProtection="1">
      <alignment horizontal="center"/>
      <protection locked="0"/>
    </xf>
    <xf numFmtId="44" fontId="6" fillId="0" borderId="1" xfId="1" applyFont="1" applyFill="1" applyBorder="1" applyAlignment="1">
      <alignment horizontal="center"/>
    </xf>
    <xf numFmtId="164" fontId="8" fillId="0" borderId="1" xfId="2" applyFont="1" applyBorder="1" applyAlignment="1" applyProtection="1">
      <alignment horizontal="center" vertical="center"/>
      <protection locked="0"/>
    </xf>
    <xf numFmtId="44" fontId="6" fillId="0" borderId="1" xfId="1" applyNumberFormat="1" applyFont="1" applyFill="1" applyBorder="1" applyAlignment="1">
      <alignment horizontal="center"/>
    </xf>
    <xf numFmtId="164" fontId="5" fillId="0" borderId="1" xfId="2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justify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3" fontId="6" fillId="0" borderId="10" xfId="0" applyNumberFormat="1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44" fontId="15" fillId="0" borderId="1" xfId="1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7" xfId="0" applyFont="1" applyFill="1" applyBorder="1" applyAlignment="1" applyProtection="1"/>
    <xf numFmtId="0" fontId="6" fillId="0" borderId="0" xfId="0" applyFont="1" applyBorder="1" applyProtection="1">
      <protection locked="0"/>
    </xf>
    <xf numFmtId="0" fontId="20" fillId="0" borderId="1" xfId="0" applyFont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4" fontId="11" fillId="0" borderId="1" xfId="0" applyNumberFormat="1" applyFont="1" applyBorder="1" applyAlignment="1" applyProtection="1">
      <alignment horizontal="center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3" fontId="9" fillId="0" borderId="1" xfId="0" applyNumberFormat="1" applyFont="1" applyBorder="1" applyAlignment="1" applyProtection="1">
      <alignment horizontal="center" vertical="center"/>
    </xf>
    <xf numFmtId="43" fontId="15" fillId="0" borderId="1" xfId="0" applyNumberFormat="1" applyFont="1" applyBorder="1" applyAlignment="1">
      <alignment horizontal="center" vertical="center" wrapText="1"/>
    </xf>
    <xf numFmtId="43" fontId="16" fillId="2" borderId="1" xfId="0" applyNumberFormat="1" applyFont="1" applyFill="1" applyBorder="1" applyAlignment="1">
      <alignment horizontal="center" vertical="center" wrapText="1"/>
    </xf>
    <xf numFmtId="43" fontId="9" fillId="2" borderId="1" xfId="0" applyNumberFormat="1" applyFont="1" applyFill="1" applyBorder="1" applyAlignment="1" applyProtection="1">
      <alignment horizontal="center" vertical="center"/>
    </xf>
    <xf numFmtId="164" fontId="9" fillId="2" borderId="1" xfId="2" applyFont="1" applyFill="1" applyBorder="1" applyAlignment="1" applyProtection="1">
      <alignment horizontal="right" vertical="center" wrapText="1"/>
      <protection locked="0"/>
    </xf>
    <xf numFmtId="43" fontId="15" fillId="0" borderId="1" xfId="0" applyNumberFormat="1" applyFont="1" applyBorder="1" applyAlignment="1">
      <alignment horizontal="justify" vertical="center" wrapText="1"/>
    </xf>
    <xf numFmtId="164" fontId="9" fillId="2" borderId="1" xfId="2" applyFont="1" applyFill="1" applyBorder="1" applyAlignment="1" applyProtection="1">
      <alignment horizontal="right"/>
      <protection locked="0"/>
    </xf>
    <xf numFmtId="43" fontId="16" fillId="2" borderId="1" xfId="0" applyNumberFormat="1" applyFont="1" applyFill="1" applyBorder="1" applyAlignment="1">
      <alignment horizontal="justify" vertical="center" wrapText="1"/>
    </xf>
    <xf numFmtId="10" fontId="9" fillId="0" borderId="1" xfId="10" applyNumberFormat="1" applyFont="1" applyFill="1" applyBorder="1" applyAlignment="1" applyProtection="1">
      <alignment horizontal="center" vertical="center"/>
      <protection locked="0"/>
    </xf>
    <xf numFmtId="164" fontId="9" fillId="2" borderId="1" xfId="2" applyFont="1" applyFill="1" applyBorder="1" applyAlignment="1" applyProtection="1">
      <alignment horizontal="center" vertical="center"/>
      <protection locked="0"/>
    </xf>
    <xf numFmtId="1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15" fillId="0" borderId="1" xfId="1" applyFont="1" applyBorder="1" applyAlignment="1">
      <alignment horizontal="center" vertical="center" wrapText="1"/>
    </xf>
    <xf numFmtId="44" fontId="16" fillId="2" borderId="1" xfId="0" applyNumberFormat="1" applyFont="1" applyFill="1" applyBorder="1" applyAlignment="1">
      <alignment horizontal="justify" vertical="center" wrapText="1"/>
    </xf>
    <xf numFmtId="9" fontId="6" fillId="0" borderId="1" xfId="0" applyNumberFormat="1" applyFont="1" applyBorder="1" applyAlignment="1">
      <alignment horizontal="center"/>
    </xf>
    <xf numFmtId="44" fontId="15" fillId="0" borderId="1" xfId="0" applyNumberFormat="1" applyFont="1" applyBorder="1" applyAlignment="1">
      <alignment horizontal="center" vertical="center" wrapText="1"/>
    </xf>
    <xf numFmtId="44" fontId="16" fillId="2" borderId="1" xfId="0" applyNumberFormat="1" applyFont="1" applyFill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0" fontId="15" fillId="0" borderId="1" xfId="18" applyNumberFormat="1" applyFont="1" applyBorder="1" applyAlignment="1">
      <alignment horizontal="center" vertical="center" wrapText="1"/>
    </xf>
    <xf numFmtId="0" fontId="8" fillId="0" borderId="0" xfId="0" applyFont="1" applyAlignment="1" applyProtection="1"/>
    <xf numFmtId="0" fontId="11" fillId="8" borderId="12" xfId="1" applyNumberFormat="1" applyFont="1" applyFill="1" applyBorder="1"/>
    <xf numFmtId="0" fontId="8" fillId="0" borderId="0" xfId="0" applyFont="1" applyFill="1" applyProtection="1"/>
    <xf numFmtId="0" fontId="6" fillId="0" borderId="0" xfId="0" applyFont="1" applyFill="1" applyBorder="1" applyProtection="1">
      <protection locked="0"/>
    </xf>
    <xf numFmtId="44" fontId="11" fillId="0" borderId="0" xfId="0" applyNumberFormat="1" applyFont="1" applyFill="1" applyBorder="1"/>
    <xf numFmtId="44" fontId="1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44" fontId="6" fillId="0" borderId="1" xfId="1" applyFont="1" applyBorder="1"/>
    <xf numFmtId="44" fontId="15" fillId="5" borderId="1" xfId="1" applyFont="1" applyFill="1" applyBorder="1" applyAlignment="1">
      <alignment horizontal="justify" vertical="center" wrapText="1"/>
    </xf>
    <xf numFmtId="44" fontId="16" fillId="2" borderId="1" xfId="1" applyFont="1" applyFill="1" applyBorder="1" applyAlignment="1">
      <alignment horizontal="justify" vertical="center" wrapText="1"/>
    </xf>
    <xf numFmtId="44" fontId="6" fillId="0" borderId="1" xfId="0" applyNumberFormat="1" applyFont="1" applyBorder="1"/>
    <xf numFmtId="44" fontId="11" fillId="2" borderId="1" xfId="0" applyNumberFormat="1" applyFont="1" applyFill="1" applyBorder="1"/>
    <xf numFmtId="44" fontId="11" fillId="0" borderId="1" xfId="1" applyFont="1" applyFill="1" applyBorder="1"/>
    <xf numFmtId="0" fontId="11" fillId="5" borderId="1" xfId="0" applyFont="1" applyFill="1" applyBorder="1" applyAlignment="1">
      <alignment horizontal="center"/>
    </xf>
    <xf numFmtId="10" fontId="5" fillId="6" borderId="1" xfId="10" applyNumberFormat="1" applyFont="1" applyFill="1" applyBorder="1" applyAlignment="1" applyProtection="1">
      <alignment horizontal="center" vertical="center"/>
      <protection locked="0"/>
    </xf>
    <xf numFmtId="10" fontId="15" fillId="6" borderId="1" xfId="0" applyNumberFormat="1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4" fontId="25" fillId="0" borderId="17" xfId="0" applyNumberFormat="1" applyFont="1" applyBorder="1" applyAlignment="1">
      <alignment horizontal="center" vertical="center"/>
    </xf>
    <xf numFmtId="44" fontId="25" fillId="0" borderId="17" xfId="1" applyFont="1" applyBorder="1" applyAlignment="1">
      <alignment horizontal="right" vertical="center"/>
    </xf>
    <xf numFmtId="44" fontId="23" fillId="2" borderId="17" xfId="1" applyFont="1" applyFill="1" applyBorder="1" applyAlignment="1">
      <alignment horizontal="right" vertical="center"/>
    </xf>
    <xf numFmtId="44" fontId="23" fillId="0" borderId="17" xfId="1" applyFont="1" applyFill="1" applyBorder="1" applyAlignment="1">
      <alignment horizontal="right" vertical="center"/>
    </xf>
    <xf numFmtId="0" fontId="24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44" fontId="30" fillId="9" borderId="1" xfId="0" applyNumberFormat="1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center"/>
    </xf>
    <xf numFmtId="0" fontId="32" fillId="0" borderId="0" xfId="0" applyFont="1"/>
    <xf numFmtId="0" fontId="35" fillId="3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center" vertical="center" wrapText="1"/>
    </xf>
    <xf numFmtId="0" fontId="35" fillId="10" borderId="3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11" borderId="3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justify" vertical="center" wrapText="1"/>
    </xf>
    <xf numFmtId="0" fontId="34" fillId="11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vertical="center" wrapText="1"/>
    </xf>
    <xf numFmtId="0" fontId="33" fillId="11" borderId="1" xfId="0" applyFont="1" applyFill="1" applyBorder="1" applyAlignment="1">
      <alignment horizontal="justify" vertical="center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justify" vertical="center" wrapText="1"/>
    </xf>
    <xf numFmtId="0" fontId="35" fillId="11" borderId="1" xfId="0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justify" vertical="center" wrapText="1"/>
    </xf>
    <xf numFmtId="0" fontId="34" fillId="11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6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0" fontId="32" fillId="0" borderId="1" xfId="0" applyFont="1" applyBorder="1" applyAlignment="1">
      <alignment horizontal="center" vertical="center"/>
    </xf>
    <xf numFmtId="17" fontId="32" fillId="0" borderId="1" xfId="0" applyNumberFormat="1" applyFont="1" applyBorder="1" applyAlignment="1">
      <alignment horizontal="center" vertical="center"/>
    </xf>
    <xf numFmtId="44" fontId="32" fillId="0" borderId="1" xfId="1" applyFont="1" applyBorder="1" applyAlignment="1">
      <alignment horizontal="center" vertical="center"/>
    </xf>
    <xf numFmtId="44" fontId="32" fillId="1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3" fillId="2" borderId="1" xfId="0" applyFont="1" applyFill="1" applyBorder="1" applyAlignment="1">
      <alignment horizontal="justify" vertical="center" wrapText="1"/>
    </xf>
    <xf numFmtId="167" fontId="32" fillId="0" borderId="1" xfId="1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4" fontId="32" fillId="0" borderId="1" xfId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>
      <alignment horizontal="center" vertical="center"/>
    </xf>
    <xf numFmtId="167" fontId="32" fillId="0" borderId="1" xfId="1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justify" vertical="center" wrapText="1"/>
    </xf>
    <xf numFmtId="0" fontId="33" fillId="0" borderId="1" xfId="0" applyFont="1" applyFill="1" applyBorder="1" applyAlignment="1">
      <alignment horizontal="center" vertical="center"/>
    </xf>
    <xf numFmtId="44" fontId="32" fillId="12" borderId="10" xfId="1" applyFont="1" applyFill="1" applyBorder="1" applyAlignment="1">
      <alignment horizontal="center" vertical="center"/>
    </xf>
    <xf numFmtId="44" fontId="28" fillId="2" borderId="12" xfId="0" applyNumberFormat="1" applyFont="1" applyFill="1" applyBorder="1"/>
    <xf numFmtId="0" fontId="34" fillId="0" borderId="10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44" fontId="32" fillId="0" borderId="10" xfId="1" applyFont="1" applyBorder="1" applyAlignment="1">
      <alignment horizontal="center" vertical="center"/>
    </xf>
    <xf numFmtId="44" fontId="28" fillId="2" borderId="18" xfId="0" applyNumberFormat="1" applyFont="1" applyFill="1" applyBorder="1"/>
    <xf numFmtId="0" fontId="32" fillId="0" borderId="10" xfId="0" applyFont="1" applyBorder="1"/>
    <xf numFmtId="0" fontId="32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 vertical="center"/>
    </xf>
    <xf numFmtId="0" fontId="31" fillId="11" borderId="10" xfId="0" applyFont="1" applyFill="1" applyBorder="1" applyAlignment="1">
      <alignment horizontal="center" vertical="center"/>
    </xf>
    <xf numFmtId="17" fontId="32" fillId="0" borderId="10" xfId="0" applyNumberFormat="1" applyFont="1" applyBorder="1" applyAlignment="1">
      <alignment horizontal="center" vertical="center"/>
    </xf>
    <xf numFmtId="44" fontId="32" fillId="0" borderId="10" xfId="1" applyFont="1" applyBorder="1"/>
    <xf numFmtId="0" fontId="32" fillId="0" borderId="10" xfId="0" applyFont="1" applyFill="1" applyBorder="1" applyAlignment="1">
      <alignment horizontal="center" vertical="center"/>
    </xf>
    <xf numFmtId="44" fontId="28" fillId="2" borderId="12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justify" vertical="center" wrapText="1"/>
    </xf>
    <xf numFmtId="0" fontId="34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167" fontId="32" fillId="0" borderId="10" xfId="1" applyNumberFormat="1" applyFont="1" applyBorder="1" applyAlignment="1">
      <alignment horizontal="center" vertical="center"/>
    </xf>
    <xf numFmtId="44" fontId="37" fillId="0" borderId="12" xfId="0" applyNumberFormat="1" applyFont="1" applyBorder="1"/>
    <xf numFmtId="44" fontId="28" fillId="0" borderId="12" xfId="0" applyNumberFormat="1" applyFont="1" applyBorder="1"/>
    <xf numFmtId="0" fontId="11" fillId="3" borderId="1" xfId="0" applyFont="1" applyFill="1" applyBorder="1" applyAlignment="1">
      <alignment horizontal="center"/>
    </xf>
    <xf numFmtId="44" fontId="11" fillId="3" borderId="1" xfId="0" applyNumberFormat="1" applyFont="1" applyFill="1" applyBorder="1"/>
    <xf numFmtId="0" fontId="9" fillId="0" borderId="1" xfId="0" applyFont="1" applyFill="1" applyBorder="1" applyProtection="1">
      <protection locked="0"/>
    </xf>
    <xf numFmtId="164" fontId="10" fillId="0" borderId="1" xfId="2" applyFont="1" applyFill="1" applyBorder="1" applyAlignment="1" applyProtection="1">
      <alignment horizontal="right"/>
      <protection locked="0"/>
    </xf>
    <xf numFmtId="44" fontId="28" fillId="3" borderId="12" xfId="0" applyNumberFormat="1" applyFont="1" applyFill="1" applyBorder="1"/>
    <xf numFmtId="44" fontId="28" fillId="5" borderId="12" xfId="0" applyNumberFormat="1" applyFont="1" applyFill="1" applyBorder="1"/>
    <xf numFmtId="44" fontId="38" fillId="13" borderId="12" xfId="0" applyNumberFormat="1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3" fontId="6" fillId="0" borderId="0" xfId="0" applyNumberFormat="1" applyFont="1"/>
    <xf numFmtId="10" fontId="6" fillId="0" borderId="0" xfId="18" applyNumberFormat="1" applyFont="1"/>
    <xf numFmtId="169" fontId="6" fillId="0" borderId="0" xfId="18" applyNumberFormat="1" applyFont="1"/>
    <xf numFmtId="170" fontId="6" fillId="0" borderId="0" xfId="0" applyNumberFormat="1" applyFont="1"/>
    <xf numFmtId="169" fontId="6" fillId="0" borderId="0" xfId="0" applyNumberFormat="1" applyFont="1"/>
    <xf numFmtId="168" fontId="6" fillId="0" borderId="0" xfId="0" applyNumberFormat="1" applyFont="1"/>
    <xf numFmtId="43" fontId="6" fillId="0" borderId="0" xfId="0" applyNumberFormat="1" applyFont="1" applyBorder="1"/>
    <xf numFmtId="2" fontId="6" fillId="0" borderId="0" xfId="0" applyNumberFormat="1" applyFont="1"/>
    <xf numFmtId="0" fontId="6" fillId="0" borderId="0" xfId="0" applyFont="1" applyAlignment="1">
      <alignment horizontal="left"/>
    </xf>
    <xf numFmtId="0" fontId="11" fillId="5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1" fillId="5" borderId="0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7" borderId="0" xfId="0" applyFont="1" applyFill="1" applyAlignment="1" applyProtection="1">
      <alignment horizontal="center"/>
    </xf>
    <xf numFmtId="0" fontId="16" fillId="5" borderId="0" xfId="0" applyFont="1" applyFill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/>
    </xf>
    <xf numFmtId="0" fontId="9" fillId="3" borderId="0" xfId="0" applyFont="1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0" fontId="9" fillId="0" borderId="1" xfId="0" applyFont="1" applyBorder="1" applyAlignment="1" applyProtection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9" fillId="5" borderId="0" xfId="0" applyFont="1" applyFill="1" applyAlignment="1" applyProtection="1">
      <alignment horizontal="center"/>
    </xf>
    <xf numFmtId="0" fontId="16" fillId="3" borderId="0" xfId="0" applyFont="1" applyFill="1" applyAlignment="1">
      <alignment horizontal="center" vertical="center"/>
    </xf>
    <xf numFmtId="0" fontId="9" fillId="5" borderId="6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/>
    </xf>
    <xf numFmtId="0" fontId="20" fillId="5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8" fillId="0" borderId="7" xfId="0" applyFont="1" applyBorder="1" applyAlignment="1" applyProtection="1">
      <alignment horizontal="left"/>
    </xf>
    <xf numFmtId="0" fontId="9" fillId="3" borderId="9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36" fillId="12" borderId="10" xfId="0" applyFont="1" applyFill="1" applyBorder="1" applyAlignment="1">
      <alignment horizontal="center" vertical="center"/>
    </xf>
    <xf numFmtId="0" fontId="36" fillId="12" borderId="9" xfId="0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7" fillId="0" borderId="22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/>
    </xf>
    <xf numFmtId="0" fontId="36" fillId="2" borderId="5" xfId="0" applyFont="1" applyFill="1" applyBorder="1" applyAlignment="1">
      <alignment horizontal="center"/>
    </xf>
    <xf numFmtId="0" fontId="36" fillId="3" borderId="3" xfId="0" applyFont="1" applyFill="1" applyBorder="1" applyAlignment="1">
      <alignment horizontal="center"/>
    </xf>
    <xf numFmtId="0" fontId="36" fillId="3" borderId="4" xfId="0" applyFont="1" applyFill="1" applyBorder="1" applyAlignment="1">
      <alignment horizontal="center"/>
    </xf>
    <xf numFmtId="0" fontId="36" fillId="3" borderId="5" xfId="0" applyFont="1" applyFill="1" applyBorder="1" applyAlignment="1">
      <alignment horizontal="center"/>
    </xf>
    <xf numFmtId="0" fontId="36" fillId="5" borderId="3" xfId="0" applyFont="1" applyFill="1" applyBorder="1" applyAlignment="1">
      <alignment horizontal="center"/>
    </xf>
    <xf numFmtId="0" fontId="36" fillId="5" borderId="4" xfId="0" applyFont="1" applyFill="1" applyBorder="1" applyAlignment="1">
      <alignment horizontal="center"/>
    </xf>
    <xf numFmtId="0" fontId="36" fillId="5" borderId="5" xfId="0" applyFont="1" applyFill="1" applyBorder="1" applyAlignment="1">
      <alignment horizont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3" borderId="13" xfId="0" applyFont="1" applyFill="1" applyBorder="1" applyAlignment="1">
      <alignment horizontal="center"/>
    </xf>
    <xf numFmtId="0" fontId="28" fillId="3" borderId="14" xfId="0" applyFont="1" applyFill="1" applyBorder="1" applyAlignment="1">
      <alignment horizontal="center"/>
    </xf>
    <xf numFmtId="0" fontId="28" fillId="3" borderId="18" xfId="0" applyFont="1" applyFill="1" applyBorder="1" applyAlignment="1">
      <alignment horizontal="center"/>
    </xf>
    <xf numFmtId="0" fontId="38" fillId="13" borderId="13" xfId="0" applyFont="1" applyFill="1" applyBorder="1" applyAlignment="1">
      <alignment horizontal="center" vertical="center"/>
    </xf>
    <xf numFmtId="0" fontId="38" fillId="13" borderId="14" xfId="0" applyFont="1" applyFill="1" applyBorder="1" applyAlignment="1">
      <alignment horizontal="center" vertical="center"/>
    </xf>
    <xf numFmtId="0" fontId="38" fillId="13" borderId="18" xfId="0" applyFont="1" applyFill="1" applyBorder="1" applyAlignment="1">
      <alignment horizontal="center" vertical="center"/>
    </xf>
  </cellXfs>
  <cellStyles count="19">
    <cellStyle name="Moeda" xfId="1" builtinId="4"/>
    <cellStyle name="Moeda 2" xfId="3"/>
    <cellStyle name="Moeda 2 2" xfId="4"/>
    <cellStyle name="Moeda 3" xfId="5"/>
    <cellStyle name="Moeda 4" xfId="6"/>
    <cellStyle name="Moeda 5" xfId="2"/>
    <cellStyle name="Normal" xfId="0" builtinId="0"/>
    <cellStyle name="Normal 2" xfId="7"/>
    <cellStyle name="Normal 3" xfId="8"/>
    <cellStyle name="Porcentagem" xfId="18" builtinId="5"/>
    <cellStyle name="Porcentagem 2" xfId="9"/>
    <cellStyle name="Porcentagem 2 2" xfId="10"/>
    <cellStyle name="Porcentagem 3" xfId="11"/>
    <cellStyle name="Porcentagem 3 2" xfId="12"/>
    <cellStyle name="Separador de milhares 2" xfId="13"/>
    <cellStyle name="Separador de milhares 2 2" xfId="14"/>
    <cellStyle name="Separador de milhares 3" xfId="15"/>
    <cellStyle name="Separador de milhares 3 2" xfId="16"/>
    <cellStyle name="Vírgula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7"/>
  <sheetViews>
    <sheetView tabSelected="1" topLeftCell="A167" workbookViewId="0">
      <selection activeCell="C182" sqref="C182"/>
    </sheetView>
  </sheetViews>
  <sheetFormatPr defaultRowHeight="12" x14ac:dyDescent="0.2"/>
  <cols>
    <col min="1" max="1" width="17.28515625" style="2" customWidth="1"/>
    <col min="2" max="2" width="58.28515625" style="2" customWidth="1"/>
    <col min="3" max="3" width="20.7109375" style="2" customWidth="1"/>
    <col min="4" max="4" width="16.28515625" style="2" bestFit="1" customWidth="1"/>
    <col min="5" max="5" width="13.28515625" style="2" bestFit="1" customWidth="1"/>
    <col min="6" max="6" width="16" style="2" hidden="1" customWidth="1"/>
    <col min="7" max="7" width="11.28515625" style="2" bestFit="1" customWidth="1"/>
    <col min="8" max="8" width="16" style="2" bestFit="1" customWidth="1"/>
    <col min="9" max="9" width="13.5703125" style="2" bestFit="1" customWidth="1"/>
    <col min="10" max="10" width="13.7109375" style="2" customWidth="1"/>
    <col min="11" max="16384" width="9.140625" style="2"/>
  </cols>
  <sheetData>
    <row r="1" spans="1:4" x14ac:dyDescent="0.2">
      <c r="A1" s="298" t="s">
        <v>70</v>
      </c>
      <c r="B1" s="298"/>
      <c r="C1" s="298"/>
      <c r="D1" s="298"/>
    </row>
    <row r="2" spans="1:4" x14ac:dyDescent="0.2">
      <c r="A2" s="3"/>
      <c r="B2" s="3"/>
      <c r="C2" s="3"/>
      <c r="D2" s="1"/>
    </row>
    <row r="3" spans="1:4" x14ac:dyDescent="0.2">
      <c r="A3" s="299" t="s">
        <v>372</v>
      </c>
      <c r="B3" s="299"/>
      <c r="C3" s="299"/>
      <c r="D3" s="299"/>
    </row>
    <row r="4" spans="1:4" x14ac:dyDescent="0.2">
      <c r="A4" s="5"/>
      <c r="B4" s="5"/>
      <c r="C4" s="5"/>
      <c r="D4" s="4"/>
    </row>
    <row r="5" spans="1:4" x14ac:dyDescent="0.2">
      <c r="A5" s="300" t="s">
        <v>40</v>
      </c>
      <c r="B5" s="300"/>
      <c r="C5" s="300"/>
      <c r="D5" s="300"/>
    </row>
    <row r="6" spans="1:4" x14ac:dyDescent="0.2">
      <c r="A6" s="6"/>
      <c r="B6" s="6"/>
      <c r="C6" s="7"/>
      <c r="D6" s="6"/>
    </row>
    <row r="7" spans="1:4" x14ac:dyDescent="0.2">
      <c r="A7" s="296" t="s">
        <v>63</v>
      </c>
      <c r="B7" s="297"/>
      <c r="C7" s="8"/>
      <c r="D7" s="6"/>
    </row>
    <row r="8" spans="1:4" x14ac:dyDescent="0.2">
      <c r="A8" s="296" t="s">
        <v>71</v>
      </c>
      <c r="B8" s="297"/>
      <c r="C8" s="9"/>
      <c r="D8" s="10"/>
    </row>
    <row r="9" spans="1:4" x14ac:dyDescent="0.2">
      <c r="A9" s="296" t="s">
        <v>72</v>
      </c>
      <c r="B9" s="297"/>
      <c r="C9" s="11"/>
      <c r="D9" s="10"/>
    </row>
    <row r="10" spans="1:4" x14ac:dyDescent="0.2">
      <c r="A10" s="12"/>
      <c r="B10" s="12"/>
      <c r="C10" s="13"/>
    </row>
    <row r="11" spans="1:4" x14ac:dyDescent="0.2">
      <c r="A11" s="286" t="s">
        <v>0</v>
      </c>
      <c r="B11" s="286"/>
      <c r="C11" s="286"/>
    </row>
    <row r="12" spans="1:4" x14ac:dyDescent="0.2">
      <c r="A12" s="14" t="s">
        <v>1</v>
      </c>
      <c r="B12" s="15" t="s">
        <v>2</v>
      </c>
      <c r="C12" s="46" t="s">
        <v>73</v>
      </c>
    </row>
    <row r="13" spans="1:4" x14ac:dyDescent="0.2">
      <c r="A13" s="14" t="s">
        <v>3</v>
      </c>
      <c r="B13" s="15" t="s">
        <v>4</v>
      </c>
      <c r="C13" s="47" t="s">
        <v>180</v>
      </c>
    </row>
    <row r="14" spans="1:4" x14ac:dyDescent="0.2">
      <c r="A14" s="14" t="s">
        <v>5</v>
      </c>
      <c r="B14" s="15" t="s">
        <v>6</v>
      </c>
      <c r="C14" s="17" t="s">
        <v>74</v>
      </c>
    </row>
    <row r="15" spans="1:4" x14ac:dyDescent="0.2">
      <c r="A15" s="14" t="s">
        <v>7</v>
      </c>
      <c r="B15" s="15" t="s">
        <v>8</v>
      </c>
      <c r="C15" s="16">
        <v>12</v>
      </c>
    </row>
    <row r="16" spans="1:4" x14ac:dyDescent="0.2">
      <c r="A16" s="18"/>
      <c r="B16" s="19"/>
      <c r="C16" s="18"/>
    </row>
    <row r="17" spans="1:3" ht="24" x14ac:dyDescent="0.2">
      <c r="A17" s="113" t="s">
        <v>76</v>
      </c>
      <c r="B17" s="113" t="s">
        <v>165</v>
      </c>
      <c r="C17" s="113" t="s">
        <v>164</v>
      </c>
    </row>
    <row r="18" spans="1:3" x14ac:dyDescent="0.2">
      <c r="A18" s="287" t="s">
        <v>41</v>
      </c>
      <c r="B18" s="114" t="s">
        <v>166</v>
      </c>
      <c r="C18" s="116">
        <v>2534.69</v>
      </c>
    </row>
    <row r="19" spans="1:3" x14ac:dyDescent="0.2">
      <c r="A19" s="287"/>
      <c r="B19" s="117" t="s">
        <v>167</v>
      </c>
      <c r="C19" s="119">
        <v>6083.09</v>
      </c>
    </row>
    <row r="20" spans="1:3" x14ac:dyDescent="0.2">
      <c r="A20" s="287"/>
      <c r="B20" s="117" t="s">
        <v>168</v>
      </c>
      <c r="C20" s="118">
        <v>708.04</v>
      </c>
    </row>
    <row r="21" spans="1:3" x14ac:dyDescent="0.2">
      <c r="A21" s="288" t="s">
        <v>32</v>
      </c>
      <c r="B21" s="288"/>
      <c r="C21" s="115">
        <f>SUM(C18:C20)</f>
        <v>9325.82</v>
      </c>
    </row>
    <row r="22" spans="1:3" x14ac:dyDescent="0.2">
      <c r="A22" s="289"/>
      <c r="B22" s="289"/>
      <c r="C22" s="289"/>
    </row>
    <row r="23" spans="1:3" x14ac:dyDescent="0.2">
      <c r="A23" s="289" t="s">
        <v>75</v>
      </c>
      <c r="B23" s="289"/>
      <c r="C23" s="289"/>
    </row>
    <row r="24" spans="1:3" ht="36" x14ac:dyDescent="0.2">
      <c r="A24" s="85" t="s">
        <v>76</v>
      </c>
      <c r="B24" s="85" t="s">
        <v>77</v>
      </c>
      <c r="C24" s="25" t="s">
        <v>78</v>
      </c>
    </row>
    <row r="25" spans="1:3" x14ac:dyDescent="0.2">
      <c r="A25" s="201" t="s">
        <v>369</v>
      </c>
      <c r="B25" s="247" t="s">
        <v>370</v>
      </c>
      <c r="C25" s="248">
        <f>C21</f>
        <v>9325.82</v>
      </c>
    </row>
    <row r="26" spans="1:3" x14ac:dyDescent="0.2">
      <c r="A26" s="201"/>
      <c r="B26" s="21"/>
      <c r="C26" s="31"/>
    </row>
    <row r="27" spans="1:3" x14ac:dyDescent="0.2">
      <c r="A27" s="201"/>
      <c r="B27" s="20"/>
      <c r="C27" s="199"/>
    </row>
    <row r="28" spans="1:3" x14ac:dyDescent="0.2">
      <c r="A28" s="201"/>
      <c r="B28" s="20"/>
      <c r="C28" s="23"/>
    </row>
    <row r="29" spans="1:3" x14ac:dyDescent="0.2">
      <c r="A29" s="290"/>
      <c r="B29" s="290"/>
      <c r="C29" s="290"/>
    </row>
    <row r="30" spans="1:3" x14ac:dyDescent="0.2">
      <c r="A30" s="198"/>
      <c r="B30" s="198"/>
      <c r="C30" s="198"/>
    </row>
    <row r="31" spans="1:3" x14ac:dyDescent="0.2">
      <c r="A31" s="291" t="s">
        <v>9</v>
      </c>
      <c r="B31" s="291"/>
      <c r="C31" s="291"/>
    </row>
    <row r="32" spans="1:3" x14ac:dyDescent="0.2">
      <c r="A32" s="201">
        <v>1</v>
      </c>
      <c r="B32" s="20" t="s">
        <v>10</v>
      </c>
      <c r="C32" s="199" t="s">
        <v>81</v>
      </c>
    </row>
    <row r="33" spans="1:7" x14ac:dyDescent="0.2">
      <c r="A33" s="201">
        <v>2</v>
      </c>
      <c r="B33" s="20" t="s">
        <v>82</v>
      </c>
      <c r="C33" s="92" t="s">
        <v>79</v>
      </c>
      <c r="G33" s="254"/>
    </row>
    <row r="34" spans="1:7" ht="24" x14ac:dyDescent="0.2">
      <c r="A34" s="201">
        <v>3</v>
      </c>
      <c r="B34" s="21" t="s">
        <v>80</v>
      </c>
      <c r="C34" s="31">
        <v>951.43</v>
      </c>
      <c r="D34" s="26"/>
    </row>
    <row r="35" spans="1:7" x14ac:dyDescent="0.2">
      <c r="A35" s="201">
        <v>4</v>
      </c>
      <c r="B35" s="20" t="s">
        <v>11</v>
      </c>
      <c r="C35" s="100" t="s">
        <v>124</v>
      </c>
      <c r="D35" s="26"/>
    </row>
    <row r="36" spans="1:7" x14ac:dyDescent="0.2">
      <c r="A36" s="201">
        <v>5</v>
      </c>
      <c r="B36" s="20" t="s">
        <v>12</v>
      </c>
      <c r="C36" s="86">
        <v>42370</v>
      </c>
      <c r="D36" s="30"/>
    </row>
    <row r="37" spans="1:7" x14ac:dyDescent="0.2">
      <c r="A37" s="292"/>
      <c r="B37" s="292"/>
      <c r="C37" s="292"/>
      <c r="D37" s="30"/>
    </row>
    <row r="38" spans="1:7" x14ac:dyDescent="0.2">
      <c r="A38" s="18"/>
      <c r="B38" s="24"/>
      <c r="C38" s="18"/>
      <c r="D38" s="26"/>
    </row>
    <row r="39" spans="1:7" x14ac:dyDescent="0.2">
      <c r="A39" s="276" t="s">
        <v>13</v>
      </c>
      <c r="B39" s="293"/>
      <c r="C39" s="293"/>
      <c r="D39" s="26"/>
    </row>
    <row r="40" spans="1:7" x14ac:dyDescent="0.2">
      <c r="A40" s="199">
        <v>1</v>
      </c>
      <c r="B40" s="199" t="s">
        <v>14</v>
      </c>
      <c r="C40" s="199" t="s">
        <v>15</v>
      </c>
      <c r="D40" s="26"/>
    </row>
    <row r="41" spans="1:7" x14ac:dyDescent="0.2">
      <c r="A41" s="52" t="s">
        <v>1</v>
      </c>
      <c r="B41" s="21" t="s">
        <v>16</v>
      </c>
      <c r="C41" s="27">
        <f>C34</f>
        <v>951.43</v>
      </c>
      <c r="D41" s="26"/>
    </row>
    <row r="42" spans="1:7" x14ac:dyDescent="0.2">
      <c r="A42" s="199" t="s">
        <v>3</v>
      </c>
      <c r="B42" s="28" t="s">
        <v>44</v>
      </c>
      <c r="C42" s="29">
        <f>(C34/100)*30</f>
        <v>285.42899999999997</v>
      </c>
      <c r="D42" s="26"/>
    </row>
    <row r="43" spans="1:7" x14ac:dyDescent="0.2">
      <c r="A43" s="52" t="s">
        <v>5</v>
      </c>
      <c r="B43" s="28" t="s">
        <v>17</v>
      </c>
      <c r="C43" s="31">
        <v>0</v>
      </c>
      <c r="D43" s="26"/>
    </row>
    <row r="44" spans="1:7" x14ac:dyDescent="0.2">
      <c r="A44" s="52" t="s">
        <v>7</v>
      </c>
      <c r="B44" s="21" t="s">
        <v>18</v>
      </c>
      <c r="C44" s="22">
        <v>0</v>
      </c>
      <c r="D44" s="26"/>
    </row>
    <row r="45" spans="1:7" x14ac:dyDescent="0.2">
      <c r="A45" s="52" t="s">
        <v>19</v>
      </c>
      <c r="B45" s="21" t="s">
        <v>83</v>
      </c>
      <c r="C45" s="22">
        <v>0</v>
      </c>
      <c r="D45" s="33"/>
    </row>
    <row r="46" spans="1:7" x14ac:dyDescent="0.2">
      <c r="A46" s="52" t="s">
        <v>20</v>
      </c>
      <c r="B46" s="21" t="s">
        <v>84</v>
      </c>
      <c r="C46" s="22">
        <v>0</v>
      </c>
      <c r="D46" s="33"/>
    </row>
    <row r="47" spans="1:7" x14ac:dyDescent="0.2">
      <c r="A47" s="52" t="s">
        <v>21</v>
      </c>
      <c r="B47" s="21" t="s">
        <v>43</v>
      </c>
      <c r="C47" s="22"/>
    </row>
    <row r="48" spans="1:7" x14ac:dyDescent="0.2">
      <c r="A48" s="294" t="s">
        <v>23</v>
      </c>
      <c r="B48" s="294"/>
      <c r="C48" s="124">
        <f>SUM(C41:C47)</f>
        <v>1236.8589999999999</v>
      </c>
      <c r="D48" s="87"/>
    </row>
    <row r="49" spans="1:8" x14ac:dyDescent="0.2">
      <c r="A49" s="32"/>
      <c r="B49" s="32"/>
      <c r="C49" s="13"/>
      <c r="D49" s="87"/>
    </row>
    <row r="50" spans="1:8" x14ac:dyDescent="0.2">
      <c r="A50" s="32"/>
      <c r="B50" s="32"/>
      <c r="C50" s="13"/>
      <c r="D50" s="87"/>
    </row>
    <row r="51" spans="1:8" x14ac:dyDescent="0.2">
      <c r="A51" s="295" t="s">
        <v>85</v>
      </c>
      <c r="B51" s="295"/>
      <c r="C51" s="295"/>
      <c r="D51" s="295"/>
    </row>
    <row r="52" spans="1:8" x14ac:dyDescent="0.2">
      <c r="A52" s="42"/>
      <c r="B52" s="99"/>
      <c r="C52" s="99"/>
      <c r="D52" s="87"/>
    </row>
    <row r="53" spans="1:8" x14ac:dyDescent="0.2">
      <c r="A53" s="285" t="s">
        <v>86</v>
      </c>
      <c r="B53" s="285"/>
      <c r="C53" s="285"/>
      <c r="D53" s="285"/>
    </row>
    <row r="54" spans="1:8" s="55" customFormat="1" x14ac:dyDescent="0.2">
      <c r="A54" s="201" t="s">
        <v>87</v>
      </c>
      <c r="B54" s="201" t="s">
        <v>88</v>
      </c>
      <c r="C54" s="200" t="s">
        <v>94</v>
      </c>
      <c r="D54" s="201" t="s">
        <v>15</v>
      </c>
    </row>
    <row r="55" spans="1:8" s="55" customFormat="1" x14ac:dyDescent="0.2">
      <c r="A55" s="201" t="s">
        <v>1</v>
      </c>
      <c r="B55" s="88" t="s">
        <v>39</v>
      </c>
      <c r="C55" s="130">
        <v>8.3299999999999999E-2</v>
      </c>
      <c r="D55" s="120">
        <f>C55*C34</f>
        <v>79.254118999999989</v>
      </c>
    </row>
    <row r="56" spans="1:8" s="55" customFormat="1" x14ac:dyDescent="0.2">
      <c r="A56" s="201" t="s">
        <v>3</v>
      </c>
      <c r="B56" s="88" t="s">
        <v>89</v>
      </c>
      <c r="C56" s="130">
        <v>2.7799999999999998E-2</v>
      </c>
      <c r="D56" s="120">
        <f>C56*C34</f>
        <v>26.449753999999999</v>
      </c>
    </row>
    <row r="57" spans="1:8" s="55" customFormat="1" x14ac:dyDescent="0.2">
      <c r="A57" s="281" t="s">
        <v>90</v>
      </c>
      <c r="B57" s="281"/>
      <c r="C57" s="130">
        <f>SUM(C55:C56)</f>
        <v>0.1111</v>
      </c>
      <c r="D57" s="123">
        <f>SUM(D55:D56)</f>
        <v>105.70387299999999</v>
      </c>
    </row>
    <row r="58" spans="1:8" s="55" customFormat="1" x14ac:dyDescent="0.2">
      <c r="A58" s="82"/>
      <c r="B58" s="82"/>
      <c r="C58" s="82"/>
      <c r="D58" s="87"/>
    </row>
    <row r="59" spans="1:8" s="55" customFormat="1" x14ac:dyDescent="0.2">
      <c r="A59" s="82"/>
      <c r="B59" s="82"/>
      <c r="C59" s="82"/>
      <c r="D59" s="87"/>
    </row>
    <row r="60" spans="1:8" s="55" customFormat="1" x14ac:dyDescent="0.2">
      <c r="A60" s="282" t="s">
        <v>91</v>
      </c>
      <c r="B60" s="282"/>
      <c r="C60" s="282"/>
      <c r="D60" s="282"/>
    </row>
    <row r="61" spans="1:8" s="55" customFormat="1" x14ac:dyDescent="0.2">
      <c r="A61" s="200" t="s">
        <v>92</v>
      </c>
      <c r="B61" s="89" t="s">
        <v>93</v>
      </c>
      <c r="C61" s="200" t="s">
        <v>94</v>
      </c>
      <c r="D61" s="200" t="s">
        <v>15</v>
      </c>
      <c r="H61" s="255"/>
    </row>
    <row r="62" spans="1:8" s="55" customFormat="1" x14ac:dyDescent="0.2">
      <c r="A62" s="90" t="s">
        <v>1</v>
      </c>
      <c r="B62" s="88" t="s">
        <v>95</v>
      </c>
      <c r="C62" s="91">
        <v>0.2</v>
      </c>
      <c r="D62" s="121">
        <f>C62*C34</f>
        <v>190.286</v>
      </c>
    </row>
    <row r="63" spans="1:8" s="55" customFormat="1" x14ac:dyDescent="0.2">
      <c r="A63" s="90" t="s">
        <v>3</v>
      </c>
      <c r="B63" s="88" t="s">
        <v>96</v>
      </c>
      <c r="C63" s="91">
        <v>2.5000000000000001E-2</v>
      </c>
      <c r="D63" s="121">
        <f>C63*C34</f>
        <v>23.78575</v>
      </c>
    </row>
    <row r="64" spans="1:8" s="55" customFormat="1" x14ac:dyDescent="0.2">
      <c r="A64" s="90" t="s">
        <v>5</v>
      </c>
      <c r="B64" s="88" t="s">
        <v>97</v>
      </c>
      <c r="C64" s="154">
        <v>0.03</v>
      </c>
      <c r="D64" s="121">
        <f>C64*C34</f>
        <v>28.542899999999996</v>
      </c>
    </row>
    <row r="65" spans="1:5" s="55" customFormat="1" x14ac:dyDescent="0.2">
      <c r="A65" s="90" t="s">
        <v>7</v>
      </c>
      <c r="B65" s="88" t="s">
        <v>98</v>
      </c>
      <c r="C65" s="91">
        <v>1.4999999999999999E-2</v>
      </c>
      <c r="D65" s="121">
        <f>C65*C34</f>
        <v>14.271449999999998</v>
      </c>
    </row>
    <row r="66" spans="1:5" s="55" customFormat="1" x14ac:dyDescent="0.2">
      <c r="A66" s="90" t="s">
        <v>19</v>
      </c>
      <c r="B66" s="88" t="s">
        <v>99</v>
      </c>
      <c r="C66" s="91">
        <v>0.01</v>
      </c>
      <c r="D66" s="121">
        <f>C66*C34</f>
        <v>9.5143000000000004</v>
      </c>
    </row>
    <row r="67" spans="1:5" s="55" customFormat="1" x14ac:dyDescent="0.2">
      <c r="A67" s="90" t="s">
        <v>20</v>
      </c>
      <c r="B67" s="88" t="s">
        <v>100</v>
      </c>
      <c r="C67" s="91">
        <v>6.0000000000000001E-3</v>
      </c>
      <c r="D67" s="121">
        <f>C67*C34</f>
        <v>5.7085799999999995</v>
      </c>
    </row>
    <row r="68" spans="1:5" s="55" customFormat="1" x14ac:dyDescent="0.2">
      <c r="A68" s="90" t="s">
        <v>21</v>
      </c>
      <c r="B68" s="88" t="s">
        <v>101</v>
      </c>
      <c r="C68" s="91">
        <v>2E-3</v>
      </c>
      <c r="D68" s="121">
        <f>C68*C34</f>
        <v>1.90286</v>
      </c>
    </row>
    <row r="69" spans="1:5" s="55" customFormat="1" x14ac:dyDescent="0.2">
      <c r="A69" s="90" t="s">
        <v>22</v>
      </c>
      <c r="B69" s="88" t="s">
        <v>102</v>
      </c>
      <c r="C69" s="91">
        <v>0.08</v>
      </c>
      <c r="D69" s="121">
        <f>C69*C34</f>
        <v>76.114400000000003</v>
      </c>
    </row>
    <row r="70" spans="1:5" s="55" customFormat="1" x14ac:dyDescent="0.2">
      <c r="A70" s="263" t="s">
        <v>32</v>
      </c>
      <c r="B70" s="263"/>
      <c r="C70" s="91">
        <f>SUM(C62:C69)</f>
        <v>0.36800000000000005</v>
      </c>
      <c r="D70" s="122">
        <f>SUM(D62:D69)</f>
        <v>350.12623999999994</v>
      </c>
    </row>
    <row r="71" spans="1:5" s="55" customFormat="1" x14ac:dyDescent="0.2">
      <c r="A71" s="82"/>
      <c r="B71" s="82"/>
      <c r="C71" s="82"/>
      <c r="D71" s="87"/>
    </row>
    <row r="72" spans="1:5" s="55" customFormat="1" x14ac:dyDescent="0.2">
      <c r="A72" s="82"/>
      <c r="B72" s="82"/>
      <c r="C72" s="82"/>
      <c r="D72" s="87"/>
    </row>
    <row r="73" spans="1:5" s="55" customFormat="1" x14ac:dyDescent="0.2">
      <c r="A73" s="282" t="s">
        <v>103</v>
      </c>
      <c r="B73" s="282"/>
      <c r="C73" s="282"/>
      <c r="D73" s="87"/>
    </row>
    <row r="74" spans="1:5" x14ac:dyDescent="0.2">
      <c r="A74" s="199" t="s">
        <v>104</v>
      </c>
      <c r="B74" s="199" t="s">
        <v>24</v>
      </c>
      <c r="C74" s="199" t="s">
        <v>15</v>
      </c>
      <c r="D74" s="87"/>
    </row>
    <row r="75" spans="1:5" x14ac:dyDescent="0.2">
      <c r="A75" s="52" t="s">
        <v>1</v>
      </c>
      <c r="B75" s="88" t="s">
        <v>106</v>
      </c>
      <c r="C75" s="45">
        <f>(3.5*2*22)-(6%*C34)</f>
        <v>96.914200000000008</v>
      </c>
      <c r="D75" s="87"/>
    </row>
    <row r="76" spans="1:5" ht="14.25" x14ac:dyDescent="0.2">
      <c r="A76" s="199" t="s">
        <v>3</v>
      </c>
      <c r="B76" s="88" t="s">
        <v>108</v>
      </c>
      <c r="C76" s="53">
        <f>(11*22)-(11*22*10%)</f>
        <v>217.8</v>
      </c>
      <c r="D76" s="26"/>
      <c r="E76" s="51"/>
    </row>
    <row r="77" spans="1:5" x14ac:dyDescent="0.2">
      <c r="A77" s="52" t="s">
        <v>5</v>
      </c>
      <c r="B77" s="88" t="s">
        <v>105</v>
      </c>
      <c r="C77" s="31">
        <v>0</v>
      </c>
      <c r="D77" s="26"/>
      <c r="E77" s="51"/>
    </row>
    <row r="78" spans="1:5" ht="14.25" x14ac:dyDescent="0.2">
      <c r="A78" s="52" t="s">
        <v>7</v>
      </c>
      <c r="B78" s="88" t="s">
        <v>110</v>
      </c>
      <c r="C78" s="31">
        <v>11</v>
      </c>
      <c r="D78" s="26"/>
      <c r="E78" s="51"/>
    </row>
    <row r="79" spans="1:5" ht="14.25" x14ac:dyDescent="0.2">
      <c r="A79" s="71" t="s">
        <v>107</v>
      </c>
      <c r="B79" s="66" t="s">
        <v>109</v>
      </c>
      <c r="C79" s="22">
        <v>3.5</v>
      </c>
      <c r="D79" s="26"/>
    </row>
    <row r="80" spans="1:5" x14ac:dyDescent="0.2">
      <c r="A80" s="277" t="s">
        <v>25</v>
      </c>
      <c r="B80" s="277" t="s">
        <v>26</v>
      </c>
      <c r="C80" s="126">
        <f>SUM(C75:C79)</f>
        <v>329.21420000000001</v>
      </c>
      <c r="D80" s="38"/>
    </row>
    <row r="81" spans="1:5" x14ac:dyDescent="0.2">
      <c r="A81" s="32"/>
      <c r="B81" s="32"/>
      <c r="C81" s="13"/>
      <c r="D81" s="37"/>
    </row>
    <row r="82" spans="1:5" x14ac:dyDescent="0.2">
      <c r="A82" s="32"/>
      <c r="B82" s="32"/>
      <c r="C82" s="13"/>
      <c r="D82" s="37"/>
    </row>
    <row r="83" spans="1:5" x14ac:dyDescent="0.2">
      <c r="A83" s="283" t="s">
        <v>111</v>
      </c>
      <c r="B83" s="283"/>
      <c r="C83" s="283"/>
      <c r="D83" s="37"/>
    </row>
    <row r="84" spans="1:5" x14ac:dyDescent="0.2">
      <c r="A84" s="200">
        <v>2</v>
      </c>
      <c r="B84" s="89" t="s">
        <v>112</v>
      </c>
      <c r="C84" s="200" t="s">
        <v>15</v>
      </c>
      <c r="D84" s="37"/>
    </row>
    <row r="85" spans="1:5" x14ac:dyDescent="0.2">
      <c r="A85" s="200" t="s">
        <v>87</v>
      </c>
      <c r="B85" s="88" t="s">
        <v>88</v>
      </c>
      <c r="C85" s="125">
        <f>D57</f>
        <v>105.70387299999999</v>
      </c>
      <c r="D85" s="37"/>
    </row>
    <row r="86" spans="1:5" x14ac:dyDescent="0.2">
      <c r="A86" s="200" t="s">
        <v>92</v>
      </c>
      <c r="B86" s="88" t="s">
        <v>93</v>
      </c>
      <c r="C86" s="125">
        <f>D70</f>
        <v>350.12623999999994</v>
      </c>
      <c r="D86" s="37"/>
    </row>
    <row r="87" spans="1:5" x14ac:dyDescent="0.2">
      <c r="A87" s="200" t="s">
        <v>104</v>
      </c>
      <c r="B87" s="88" t="s">
        <v>24</v>
      </c>
      <c r="C87" s="101">
        <f>C80</f>
        <v>329.21420000000001</v>
      </c>
      <c r="D87" s="37"/>
    </row>
    <row r="88" spans="1:5" x14ac:dyDescent="0.2">
      <c r="A88" s="263" t="s">
        <v>32</v>
      </c>
      <c r="B88" s="263"/>
      <c r="C88" s="127">
        <f>SUM(C85:C87)</f>
        <v>785.04431299999987</v>
      </c>
      <c r="D88" s="37"/>
    </row>
    <row r="89" spans="1:5" x14ac:dyDescent="0.2">
      <c r="A89" s="32"/>
      <c r="B89" s="32"/>
      <c r="C89" s="13"/>
      <c r="D89" s="37"/>
    </row>
    <row r="90" spans="1:5" x14ac:dyDescent="0.2">
      <c r="A90" s="284" t="s">
        <v>113</v>
      </c>
      <c r="B90" s="284"/>
      <c r="C90" s="284"/>
      <c r="D90" s="284"/>
    </row>
    <row r="91" spans="1:5" x14ac:dyDescent="0.2">
      <c r="A91" s="93"/>
      <c r="B91" s="93"/>
      <c r="C91" s="93"/>
      <c r="D91" s="94"/>
    </row>
    <row r="92" spans="1:5" x14ac:dyDescent="0.2">
      <c r="A92" s="200">
        <v>3</v>
      </c>
      <c r="B92" s="89" t="s">
        <v>34</v>
      </c>
      <c r="C92" s="200" t="s">
        <v>94</v>
      </c>
      <c r="D92" s="200" t="s">
        <v>15</v>
      </c>
    </row>
    <row r="93" spans="1:5" x14ac:dyDescent="0.2">
      <c r="A93" s="200" t="s">
        <v>1</v>
      </c>
      <c r="B93" s="88" t="s">
        <v>114</v>
      </c>
      <c r="C93" s="48">
        <v>4.1999999999999997E-3</v>
      </c>
      <c r="D93" s="95">
        <f>(C48+C85+C87)*C93</f>
        <v>7.0214637065999987</v>
      </c>
      <c r="E93" s="50"/>
    </row>
    <row r="94" spans="1:5" x14ac:dyDescent="0.2">
      <c r="A94" s="200" t="s">
        <v>3</v>
      </c>
      <c r="B94" s="88" t="s">
        <v>115</v>
      </c>
      <c r="C94" s="40">
        <f>8%*C93</f>
        <v>3.3599999999999998E-4</v>
      </c>
      <c r="D94" s="96">
        <f>C94*C34</f>
        <v>0.31968047999999999</v>
      </c>
    </row>
    <row r="95" spans="1:5" x14ac:dyDescent="0.2">
      <c r="A95" s="200" t="s">
        <v>5</v>
      </c>
      <c r="B95" s="88" t="s">
        <v>116</v>
      </c>
      <c r="C95" s="44">
        <f>(40%+10%)*8%</f>
        <v>0.04</v>
      </c>
      <c r="D95" s="96">
        <f>C95*C34</f>
        <v>38.057200000000002</v>
      </c>
    </row>
    <row r="96" spans="1:5" x14ac:dyDescent="0.2">
      <c r="A96" s="200" t="s">
        <v>7</v>
      </c>
      <c r="B96" s="88" t="s">
        <v>373</v>
      </c>
      <c r="C96" s="153">
        <f>(1/30/12)*7</f>
        <v>1.9444444444444445E-2</v>
      </c>
      <c r="D96" s="97">
        <f>(C48+C88)*C96</f>
        <v>39.314786641666664</v>
      </c>
      <c r="E96" s="50"/>
    </row>
    <row r="97" spans="1:17" ht="24" x14ac:dyDescent="0.2">
      <c r="A97" s="200" t="s">
        <v>19</v>
      </c>
      <c r="B97" s="88" t="s">
        <v>117</v>
      </c>
      <c r="C97" s="54">
        <f>(C96*C70)</f>
        <v>7.1555555555555565E-3</v>
      </c>
      <c r="D97" s="98">
        <f>C97*C34</f>
        <v>6.8080102222222232</v>
      </c>
    </row>
    <row r="98" spans="1:17" x14ac:dyDescent="0.2">
      <c r="A98" s="200" t="s">
        <v>20</v>
      </c>
      <c r="B98" s="88" t="s">
        <v>118</v>
      </c>
      <c r="C98" s="44">
        <f>(40%+10%)*8%</f>
        <v>0.04</v>
      </c>
      <c r="D98" s="96">
        <f>C98*C34</f>
        <v>38.057200000000002</v>
      </c>
    </row>
    <row r="99" spans="1:17" x14ac:dyDescent="0.2">
      <c r="A99" s="263" t="s">
        <v>32</v>
      </c>
      <c r="B99" s="263"/>
      <c r="C99" s="128"/>
      <c r="D99" s="129">
        <f>SUM(D93:D98)</f>
        <v>129.57834105048889</v>
      </c>
    </row>
    <row r="100" spans="1:17" x14ac:dyDescent="0.2">
      <c r="A100" s="93"/>
      <c r="B100" s="93"/>
      <c r="C100" s="93"/>
      <c r="D100" s="37"/>
    </row>
    <row r="101" spans="1:17" x14ac:dyDescent="0.2">
      <c r="A101" s="93"/>
      <c r="B101" s="93"/>
      <c r="C101" s="93"/>
      <c r="D101" s="37"/>
    </row>
    <row r="102" spans="1:17" x14ac:dyDescent="0.2">
      <c r="A102" s="284" t="s">
        <v>119</v>
      </c>
      <c r="B102" s="284"/>
      <c r="C102" s="284"/>
      <c r="D102" s="284"/>
      <c r="Q102" s="253"/>
    </row>
    <row r="103" spans="1:17" x14ac:dyDescent="0.2">
      <c r="A103" s="102"/>
      <c r="B103" s="102"/>
      <c r="C103" s="102"/>
      <c r="D103" s="102"/>
      <c r="I103" s="256"/>
    </row>
    <row r="104" spans="1:17" x14ac:dyDescent="0.2">
      <c r="A104" s="274" t="s">
        <v>120</v>
      </c>
      <c r="B104" s="274"/>
      <c r="C104" s="274"/>
      <c r="D104" s="274"/>
    </row>
    <row r="105" spans="1:17" x14ac:dyDescent="0.2">
      <c r="A105" s="89" t="s">
        <v>30</v>
      </c>
      <c r="B105" s="89" t="s">
        <v>121</v>
      </c>
      <c r="C105" s="200" t="s">
        <v>94</v>
      </c>
      <c r="D105" s="200" t="s">
        <v>15</v>
      </c>
    </row>
    <row r="106" spans="1:17" x14ac:dyDescent="0.2">
      <c r="A106" s="200" t="s">
        <v>1</v>
      </c>
      <c r="B106" s="88" t="s">
        <v>122</v>
      </c>
      <c r="C106" s="130">
        <v>8.3299999999999999E-2</v>
      </c>
      <c r="D106" s="132">
        <f>C106*C34</f>
        <v>79.254118999999989</v>
      </c>
    </row>
    <row r="107" spans="1:17" x14ac:dyDescent="0.2">
      <c r="A107" s="200" t="s">
        <v>3</v>
      </c>
      <c r="B107" s="88" t="s">
        <v>121</v>
      </c>
      <c r="C107" s="130">
        <v>8.2000000000000007E-3</v>
      </c>
      <c r="D107" s="132">
        <f>C107*C34</f>
        <v>7.8017260000000004</v>
      </c>
      <c r="E107" s="249"/>
      <c r="G107" s="251"/>
      <c r="H107" s="252"/>
      <c r="I107" s="252"/>
    </row>
    <row r="108" spans="1:17" x14ac:dyDescent="0.2">
      <c r="A108" s="200" t="s">
        <v>5</v>
      </c>
      <c r="B108" s="88" t="s">
        <v>123</v>
      </c>
      <c r="C108" s="130">
        <v>2.0000000000000001E-4</v>
      </c>
      <c r="D108" s="132">
        <f>C108*C34</f>
        <v>0.19028600000000001</v>
      </c>
    </row>
    <row r="109" spans="1:17" x14ac:dyDescent="0.2">
      <c r="A109" s="200" t="s">
        <v>7</v>
      </c>
      <c r="B109" s="88" t="s">
        <v>45</v>
      </c>
      <c r="C109" s="130">
        <v>2.2000000000000001E-3</v>
      </c>
      <c r="D109" s="132">
        <f>C109*C34</f>
        <v>2.093146</v>
      </c>
    </row>
    <row r="110" spans="1:17" x14ac:dyDescent="0.2">
      <c r="A110" s="200" t="s">
        <v>19</v>
      </c>
      <c r="B110" s="88" t="s">
        <v>33</v>
      </c>
      <c r="C110" s="130">
        <v>6.1000000000000004E-3</v>
      </c>
      <c r="D110" s="109">
        <f>(D55+D56+C85+C86+C78+C79)*C110</f>
        <v>3.5138073145999997</v>
      </c>
      <c r="H110" s="250"/>
    </row>
    <row r="111" spans="1:17" x14ac:dyDescent="0.2">
      <c r="A111" s="200" t="s">
        <v>20</v>
      </c>
      <c r="B111" s="88" t="s">
        <v>35</v>
      </c>
      <c r="C111" s="134">
        <v>0</v>
      </c>
      <c r="D111" s="109">
        <f>C111*C34</f>
        <v>0</v>
      </c>
      <c r="H111" s="250"/>
    </row>
    <row r="112" spans="1:17" x14ac:dyDescent="0.2">
      <c r="A112" s="263" t="s">
        <v>32</v>
      </c>
      <c r="B112" s="263"/>
      <c r="C112" s="131"/>
      <c r="D112" s="133">
        <v>105.88</v>
      </c>
    </row>
    <row r="113" spans="1:8" x14ac:dyDescent="0.2">
      <c r="A113" s="93"/>
      <c r="B113" s="93"/>
      <c r="C113" s="93"/>
      <c r="D113" s="37"/>
      <c r="G113" s="256"/>
    </row>
    <row r="114" spans="1:8" x14ac:dyDescent="0.2">
      <c r="A114" s="93"/>
      <c r="B114" s="93"/>
      <c r="C114" s="93"/>
      <c r="D114" s="37"/>
    </row>
    <row r="115" spans="1:8" x14ac:dyDescent="0.2">
      <c r="A115" s="274" t="s">
        <v>125</v>
      </c>
      <c r="B115" s="274"/>
      <c r="C115" s="274"/>
      <c r="D115" s="274"/>
    </row>
    <row r="116" spans="1:8" x14ac:dyDescent="0.2">
      <c r="A116" s="89" t="s">
        <v>31</v>
      </c>
      <c r="B116" s="89" t="s">
        <v>126</v>
      </c>
      <c r="C116" s="200" t="s">
        <v>94</v>
      </c>
      <c r="D116" s="200" t="s">
        <v>15</v>
      </c>
      <c r="H116" s="253"/>
    </row>
    <row r="117" spans="1:8" x14ac:dyDescent="0.2">
      <c r="A117" s="200" t="s">
        <v>1</v>
      </c>
      <c r="B117" s="88" t="s">
        <v>127</v>
      </c>
      <c r="C117" s="134">
        <v>0</v>
      </c>
      <c r="D117" s="121">
        <f>C117*C34</f>
        <v>0</v>
      </c>
      <c r="H117" s="50"/>
    </row>
    <row r="118" spans="1:8" x14ac:dyDescent="0.2">
      <c r="A118" s="270" t="s">
        <v>32</v>
      </c>
      <c r="B118" s="271"/>
      <c r="C118" s="272"/>
      <c r="D118" s="122">
        <f>D117</f>
        <v>0</v>
      </c>
    </row>
    <row r="119" spans="1:8" x14ac:dyDescent="0.2">
      <c r="A119" s="32"/>
      <c r="B119" s="32"/>
      <c r="C119" s="13"/>
      <c r="D119" s="37"/>
    </row>
    <row r="120" spans="1:8" x14ac:dyDescent="0.2">
      <c r="A120" s="32"/>
      <c r="B120" s="32"/>
      <c r="C120" s="13"/>
      <c r="D120" s="37"/>
    </row>
    <row r="121" spans="1:8" ht="15.75" customHeight="1" x14ac:dyDescent="0.2">
      <c r="A121" s="275" t="s">
        <v>128</v>
      </c>
      <c r="B121" s="275"/>
      <c r="C121" s="275"/>
      <c r="D121" s="103"/>
    </row>
    <row r="122" spans="1:8" x14ac:dyDescent="0.2">
      <c r="A122" s="89">
        <v>4</v>
      </c>
      <c r="B122" s="89" t="s">
        <v>129</v>
      </c>
      <c r="C122" s="200" t="s">
        <v>15</v>
      </c>
      <c r="D122" s="37"/>
    </row>
    <row r="123" spans="1:8" x14ac:dyDescent="0.2">
      <c r="A123" s="88" t="s">
        <v>30</v>
      </c>
      <c r="B123" s="88" t="s">
        <v>121</v>
      </c>
      <c r="C123" s="135">
        <v>105.88</v>
      </c>
      <c r="D123" s="37"/>
    </row>
    <row r="124" spans="1:8" x14ac:dyDescent="0.2">
      <c r="A124" s="88" t="s">
        <v>31</v>
      </c>
      <c r="B124" s="88" t="s">
        <v>126</v>
      </c>
      <c r="C124" s="121">
        <f>D118</f>
        <v>0</v>
      </c>
      <c r="D124" s="37"/>
    </row>
    <row r="125" spans="1:8" x14ac:dyDescent="0.2">
      <c r="A125" s="263" t="s">
        <v>32</v>
      </c>
      <c r="B125" s="263"/>
      <c r="C125" s="136">
        <f>SUM(C123:C124)</f>
        <v>105.88</v>
      </c>
      <c r="D125" s="37"/>
    </row>
    <row r="126" spans="1:8" x14ac:dyDescent="0.2">
      <c r="A126" s="32"/>
      <c r="B126" s="32"/>
      <c r="C126" s="13"/>
      <c r="D126" s="37"/>
      <c r="H126" s="250"/>
    </row>
    <row r="127" spans="1:8" x14ac:dyDescent="0.2">
      <c r="A127" s="32"/>
      <c r="B127" s="32"/>
      <c r="C127" s="13"/>
      <c r="D127" s="37"/>
    </row>
    <row r="128" spans="1:8" x14ac:dyDescent="0.2">
      <c r="A128" s="276" t="s">
        <v>130</v>
      </c>
      <c r="B128" s="276"/>
      <c r="C128" s="276"/>
      <c r="D128" s="37"/>
    </row>
    <row r="129" spans="1:4" x14ac:dyDescent="0.2">
      <c r="D129" s="37"/>
    </row>
    <row r="130" spans="1:4" x14ac:dyDescent="0.2">
      <c r="A130" s="84">
        <v>5</v>
      </c>
      <c r="B130" s="84" t="s">
        <v>170</v>
      </c>
      <c r="C130" s="84" t="s">
        <v>15</v>
      </c>
      <c r="D130" s="32"/>
    </row>
    <row r="131" spans="1:4" x14ac:dyDescent="0.2">
      <c r="A131" s="14" t="s">
        <v>1</v>
      </c>
      <c r="B131" s="35" t="s">
        <v>27</v>
      </c>
      <c r="C131" s="36">
        <v>39.03</v>
      </c>
      <c r="D131" s="32"/>
    </row>
    <row r="132" spans="1:4" x14ac:dyDescent="0.2">
      <c r="A132" s="14" t="s">
        <v>3</v>
      </c>
      <c r="B132" s="34" t="s">
        <v>28</v>
      </c>
      <c r="C132" s="36">
        <v>189.3</v>
      </c>
      <c r="D132" s="32"/>
    </row>
    <row r="133" spans="1:4" x14ac:dyDescent="0.2">
      <c r="A133" s="14" t="s">
        <v>5</v>
      </c>
      <c r="B133" s="241" t="s">
        <v>362</v>
      </c>
      <c r="C133" s="242">
        <v>6.21</v>
      </c>
      <c r="D133" s="32"/>
    </row>
    <row r="134" spans="1:4" x14ac:dyDescent="0.2">
      <c r="A134" s="39" t="s">
        <v>7</v>
      </c>
      <c r="B134" s="34" t="s">
        <v>42</v>
      </c>
      <c r="C134" s="36">
        <v>87.58</v>
      </c>
      <c r="D134" s="32"/>
    </row>
    <row r="135" spans="1:4" x14ac:dyDescent="0.2">
      <c r="A135" s="39" t="s">
        <v>19</v>
      </c>
      <c r="B135" s="241" t="s">
        <v>368</v>
      </c>
      <c r="C135" s="36">
        <f>((1174.17*2)/12)/5</f>
        <v>39.139000000000003</v>
      </c>
      <c r="D135" s="32"/>
    </row>
    <row r="136" spans="1:4" x14ac:dyDescent="0.2">
      <c r="A136" s="277" t="s">
        <v>29</v>
      </c>
      <c r="B136" s="277"/>
      <c r="C136" s="126">
        <f>SUM(C131:C135)</f>
        <v>361.25900000000001</v>
      </c>
      <c r="D136" s="83"/>
    </row>
    <row r="137" spans="1:4" x14ac:dyDescent="0.2">
      <c r="A137" s="278"/>
      <c r="B137" s="278"/>
      <c r="C137" s="278"/>
    </row>
    <row r="138" spans="1:4" x14ac:dyDescent="0.2">
      <c r="A138" s="32"/>
      <c r="B138" s="24"/>
      <c r="C138" s="13"/>
    </row>
    <row r="139" spans="1:4" x14ac:dyDescent="0.2">
      <c r="A139" s="279" t="s">
        <v>169</v>
      </c>
      <c r="B139" s="279"/>
      <c r="C139" s="279"/>
      <c r="D139" s="279"/>
    </row>
    <row r="140" spans="1:4" x14ac:dyDescent="0.2">
      <c r="A140" s="32"/>
      <c r="B140" s="24"/>
      <c r="C140" s="13"/>
    </row>
    <row r="141" spans="1:4" x14ac:dyDescent="0.2">
      <c r="A141" s="200">
        <v>6</v>
      </c>
      <c r="B141" s="89" t="s">
        <v>36</v>
      </c>
      <c r="C141" s="200" t="s">
        <v>94</v>
      </c>
      <c r="D141" s="200" t="s">
        <v>15</v>
      </c>
    </row>
    <row r="142" spans="1:4" x14ac:dyDescent="0.2">
      <c r="A142" s="200" t="s">
        <v>1</v>
      </c>
      <c r="B142" s="88" t="s">
        <v>37</v>
      </c>
      <c r="C142" s="137">
        <v>0.03</v>
      </c>
      <c r="D142" s="146">
        <f>(C159+C160+C161+C162+C163)*C142</f>
        <v>78.558619621514651</v>
      </c>
    </row>
    <row r="143" spans="1:4" x14ac:dyDescent="0.2">
      <c r="A143" s="200" t="s">
        <v>3</v>
      </c>
      <c r="B143" s="88" t="s">
        <v>131</v>
      </c>
      <c r="C143" s="91">
        <v>6.7900000000000002E-2</v>
      </c>
      <c r="D143" s="146">
        <f>(C159+C160+C161+C162+C163)*C143</f>
        <v>177.80434241002817</v>
      </c>
    </row>
    <row r="144" spans="1:4" x14ac:dyDescent="0.2">
      <c r="A144" s="200" t="s">
        <v>5</v>
      </c>
      <c r="B144" s="88" t="s">
        <v>132</v>
      </c>
      <c r="C144" s="90" t="s">
        <v>162</v>
      </c>
      <c r="D144" s="147">
        <v>0</v>
      </c>
    </row>
    <row r="145" spans="1:9" x14ac:dyDescent="0.2">
      <c r="A145" s="200"/>
      <c r="B145" s="88" t="s">
        <v>172</v>
      </c>
      <c r="C145" s="91">
        <v>1.6500000000000001E-2</v>
      </c>
      <c r="D145" s="109">
        <f>((C164+D142+D143)/C153)*C145</f>
        <v>55.32038444939186</v>
      </c>
    </row>
    <row r="146" spans="1:9" x14ac:dyDescent="0.2">
      <c r="A146" s="200"/>
      <c r="B146" s="88" t="s">
        <v>173</v>
      </c>
      <c r="C146" s="91">
        <v>7.5999999999999998E-2</v>
      </c>
      <c r="D146" s="109">
        <f>((C164+D142+D143)/C153)*C146</f>
        <v>254.80904352447158</v>
      </c>
    </row>
    <row r="147" spans="1:9" x14ac:dyDescent="0.2">
      <c r="A147" s="200"/>
      <c r="B147" s="88" t="s">
        <v>133</v>
      </c>
      <c r="C147" s="90">
        <v>0</v>
      </c>
      <c r="D147" s="147">
        <v>0</v>
      </c>
    </row>
    <row r="148" spans="1:9" x14ac:dyDescent="0.2">
      <c r="A148" s="88"/>
      <c r="B148" s="88" t="s">
        <v>171</v>
      </c>
      <c r="C148" s="137">
        <v>0.05</v>
      </c>
      <c r="D148" s="109">
        <f>((C164+D142+D143)/C153)*C148</f>
        <v>167.63752863452078</v>
      </c>
    </row>
    <row r="149" spans="1:9" x14ac:dyDescent="0.2">
      <c r="A149" s="145"/>
      <c r="B149" s="145" t="s">
        <v>177</v>
      </c>
      <c r="C149" s="138">
        <v>0.14249999999999999</v>
      </c>
      <c r="D149" s="147">
        <v>0</v>
      </c>
      <c r="E149" s="50"/>
    </row>
    <row r="150" spans="1:9" ht="12" customHeight="1" x14ac:dyDescent="0.2">
      <c r="A150" s="270" t="s">
        <v>178</v>
      </c>
      <c r="B150" s="271"/>
      <c r="C150" s="272"/>
      <c r="D150" s="148">
        <f>(D142+D143+D145+D146+D148)</f>
        <v>734.12991863992693</v>
      </c>
      <c r="E150" s="50"/>
    </row>
    <row r="151" spans="1:9" x14ac:dyDescent="0.2">
      <c r="A151" s="278" t="s">
        <v>174</v>
      </c>
      <c r="B151" s="278"/>
      <c r="C151" s="278"/>
      <c r="D151" s="111"/>
      <c r="E151" s="112"/>
      <c r="F151" s="112"/>
      <c r="G151" s="50"/>
      <c r="H151" s="55"/>
    </row>
    <row r="152" spans="1:9" ht="12.75" thickBot="1" x14ac:dyDescent="0.25">
      <c r="A152" s="280" t="s">
        <v>175</v>
      </c>
      <c r="B152" s="280"/>
      <c r="C152" s="280"/>
      <c r="D152" s="139"/>
      <c r="E152" s="112"/>
      <c r="F152" s="112"/>
      <c r="G152" s="50"/>
      <c r="H152" s="55"/>
    </row>
    <row r="153" spans="1:9" s="49" customFormat="1" ht="12.75" thickBot="1" x14ac:dyDescent="0.25">
      <c r="A153" s="273" t="s">
        <v>176</v>
      </c>
      <c r="B153" s="273"/>
      <c r="C153" s="140">
        <v>0.85750000000000004</v>
      </c>
      <c r="D153" s="141"/>
      <c r="E153" s="142"/>
      <c r="F153" s="142"/>
      <c r="G153" s="143"/>
      <c r="H153" s="55"/>
      <c r="I153" s="2"/>
    </row>
    <row r="154" spans="1:9" x14ac:dyDescent="0.2">
      <c r="F154" s="56"/>
      <c r="G154" s="55"/>
      <c r="H154" s="55"/>
    </row>
    <row r="155" spans="1:9" x14ac:dyDescent="0.2">
      <c r="F155" s="56"/>
      <c r="G155" s="55"/>
      <c r="H155" s="55"/>
    </row>
    <row r="156" spans="1:9" x14ac:dyDescent="0.2">
      <c r="A156" s="262" t="s">
        <v>134</v>
      </c>
      <c r="B156" s="262"/>
      <c r="C156" s="262"/>
      <c r="D156" s="104"/>
      <c r="F156" s="56"/>
      <c r="G156" s="55"/>
      <c r="H156" s="55"/>
    </row>
    <row r="157" spans="1:9" x14ac:dyDescent="0.2">
      <c r="F157" s="56"/>
      <c r="G157" s="55"/>
      <c r="H157" s="55"/>
    </row>
    <row r="158" spans="1:9" x14ac:dyDescent="0.2">
      <c r="A158" s="90"/>
      <c r="B158" s="200" t="s">
        <v>135</v>
      </c>
      <c r="C158" s="200" t="s">
        <v>15</v>
      </c>
      <c r="F158" s="56"/>
      <c r="G158" s="55"/>
      <c r="H158" s="55"/>
    </row>
    <row r="159" spans="1:9" x14ac:dyDescent="0.2">
      <c r="A159" s="200" t="s">
        <v>1</v>
      </c>
      <c r="B159" s="88" t="s">
        <v>38</v>
      </c>
      <c r="C159" s="101">
        <f>C48</f>
        <v>1236.8589999999999</v>
      </c>
      <c r="F159" s="56"/>
      <c r="G159" s="55"/>
      <c r="H159" s="55"/>
    </row>
    <row r="160" spans="1:9" x14ac:dyDescent="0.2">
      <c r="A160" s="200" t="s">
        <v>3</v>
      </c>
      <c r="B160" s="88" t="s">
        <v>136</v>
      </c>
      <c r="C160" s="109">
        <f>C88</f>
        <v>785.04431299999987</v>
      </c>
      <c r="F160" s="56"/>
      <c r="G160" s="55"/>
      <c r="H160" s="55"/>
    </row>
    <row r="161" spans="1:8" x14ac:dyDescent="0.2">
      <c r="A161" s="200" t="s">
        <v>5</v>
      </c>
      <c r="B161" s="88" t="s">
        <v>113</v>
      </c>
      <c r="C161" s="101">
        <f>D99</f>
        <v>129.57834105048889</v>
      </c>
      <c r="F161" s="56"/>
      <c r="G161" s="55"/>
      <c r="H161" s="55"/>
    </row>
    <row r="162" spans="1:8" x14ac:dyDescent="0.2">
      <c r="A162" s="200" t="s">
        <v>7</v>
      </c>
      <c r="B162" s="88" t="s">
        <v>119</v>
      </c>
      <c r="C162" s="144">
        <f>C125</f>
        <v>105.88</v>
      </c>
      <c r="F162" s="56"/>
      <c r="G162" s="55"/>
      <c r="H162" s="55"/>
    </row>
    <row r="163" spans="1:8" x14ac:dyDescent="0.2">
      <c r="A163" s="200" t="s">
        <v>19</v>
      </c>
      <c r="B163" s="88" t="s">
        <v>137</v>
      </c>
      <c r="C163" s="101">
        <f>C136</f>
        <v>361.25900000000001</v>
      </c>
      <c r="F163" s="56"/>
      <c r="G163" s="55"/>
      <c r="H163" s="55"/>
    </row>
    <row r="164" spans="1:8" x14ac:dyDescent="0.2">
      <c r="A164" s="263" t="s">
        <v>138</v>
      </c>
      <c r="B164" s="263"/>
      <c r="C164" s="148">
        <f>SUM(C159:C163)</f>
        <v>2618.6206540504886</v>
      </c>
      <c r="F164" s="56"/>
      <c r="G164" s="55"/>
      <c r="H164" s="55"/>
    </row>
    <row r="165" spans="1:8" x14ac:dyDescent="0.2">
      <c r="A165" s="200" t="s">
        <v>20</v>
      </c>
      <c r="B165" s="88" t="s">
        <v>139</v>
      </c>
      <c r="C165" s="144">
        <f>D150</f>
        <v>734.12991863992693</v>
      </c>
      <c r="F165" s="56"/>
      <c r="G165" s="55"/>
      <c r="H165" s="55"/>
    </row>
    <row r="166" spans="1:8" x14ac:dyDescent="0.2">
      <c r="A166" s="263" t="s">
        <v>179</v>
      </c>
      <c r="B166" s="263"/>
      <c r="C166" s="148">
        <f>C164+C165</f>
        <v>3352.7505726904155</v>
      </c>
      <c r="F166" s="56"/>
      <c r="G166" s="55"/>
      <c r="H166" s="55"/>
    </row>
    <row r="167" spans="1:8" x14ac:dyDescent="0.2">
      <c r="F167" s="105"/>
      <c r="G167" s="55"/>
      <c r="H167" s="55"/>
    </row>
    <row r="168" spans="1:8" x14ac:dyDescent="0.2">
      <c r="A168" s="267" t="s">
        <v>140</v>
      </c>
      <c r="B168" s="267"/>
      <c r="C168" s="267"/>
      <c r="D168" s="267"/>
      <c r="E168" s="267"/>
      <c r="F168" s="267"/>
      <c r="G168" s="267"/>
      <c r="H168" s="267"/>
    </row>
    <row r="169" spans="1:8" x14ac:dyDescent="0.2">
      <c r="A169" s="42"/>
      <c r="B169" s="42"/>
      <c r="C169" s="43"/>
      <c r="D169" s="26"/>
      <c r="E169" s="41"/>
      <c r="F169" s="41"/>
      <c r="G169" s="55"/>
      <c r="H169" s="55"/>
    </row>
    <row r="170" spans="1:8" ht="24" x14ac:dyDescent="0.2">
      <c r="A170" s="263" t="s">
        <v>141</v>
      </c>
      <c r="B170" s="263"/>
      <c r="C170" s="263" t="s">
        <v>142</v>
      </c>
      <c r="D170" s="263" t="s">
        <v>143</v>
      </c>
      <c r="E170" s="200" t="s">
        <v>144</v>
      </c>
      <c r="F170" s="263" t="s">
        <v>146</v>
      </c>
      <c r="G170" s="268" t="s">
        <v>163</v>
      </c>
      <c r="H170" s="200" t="s">
        <v>147</v>
      </c>
    </row>
    <row r="171" spans="1:8" x14ac:dyDescent="0.2">
      <c r="A171" s="263"/>
      <c r="B171" s="263"/>
      <c r="C171" s="263"/>
      <c r="D171" s="263"/>
      <c r="E171" s="200" t="s">
        <v>145</v>
      </c>
      <c r="F171" s="263"/>
      <c r="G171" s="269"/>
      <c r="H171" s="200" t="s">
        <v>148</v>
      </c>
    </row>
    <row r="172" spans="1:8" x14ac:dyDescent="0.2">
      <c r="A172" s="200" t="s">
        <v>149</v>
      </c>
      <c r="B172" s="90" t="s">
        <v>124</v>
      </c>
      <c r="C172" s="144">
        <f>C166</f>
        <v>3352.7505726904155</v>
      </c>
      <c r="D172" s="90">
        <v>1</v>
      </c>
      <c r="E172" s="144">
        <f>C172*D172</f>
        <v>3352.7505726904155</v>
      </c>
      <c r="F172" s="88"/>
      <c r="G172" s="131">
        <v>5</v>
      </c>
      <c r="H172" s="144">
        <f>E172*G172</f>
        <v>16763.752863452079</v>
      </c>
    </row>
    <row r="173" spans="1:8" ht="12" customHeight="1" x14ac:dyDescent="0.2">
      <c r="A173" s="270" t="s">
        <v>374</v>
      </c>
      <c r="B173" s="271"/>
      <c r="C173" s="271"/>
      <c r="D173" s="271"/>
      <c r="E173" s="271"/>
      <c r="F173" s="271"/>
      <c r="G173" s="271"/>
      <c r="H173" s="272"/>
    </row>
    <row r="174" spans="1:8" x14ac:dyDescent="0.2">
      <c r="A174" s="42"/>
      <c r="B174" s="42"/>
      <c r="C174" s="43"/>
      <c r="D174" s="26"/>
      <c r="E174" s="41"/>
      <c r="F174" s="41"/>
      <c r="G174" s="55"/>
      <c r="H174" s="55"/>
    </row>
    <row r="175" spans="1:8" x14ac:dyDescent="0.2">
      <c r="A175" s="42"/>
      <c r="B175" s="42"/>
      <c r="C175" s="43"/>
      <c r="D175" s="26"/>
      <c r="E175" s="41"/>
      <c r="F175" s="41"/>
      <c r="G175" s="55"/>
      <c r="H175" s="55"/>
    </row>
    <row r="176" spans="1:8" x14ac:dyDescent="0.2">
      <c r="A176" s="262" t="s">
        <v>150</v>
      </c>
      <c r="B176" s="262"/>
      <c r="C176" s="262"/>
      <c r="D176" s="26"/>
      <c r="E176" s="41"/>
      <c r="F176" s="41"/>
      <c r="G176" s="55"/>
      <c r="H176" s="55"/>
    </row>
    <row r="178" spans="1:8" ht="15" customHeight="1" x14ac:dyDescent="0.2">
      <c r="A178" s="264" t="s">
        <v>151</v>
      </c>
      <c r="B178" s="265"/>
      <c r="C178" s="266"/>
    </row>
    <row r="179" spans="1:8" x14ac:dyDescent="0.2">
      <c r="A179" s="88"/>
      <c r="B179" s="89" t="s">
        <v>152</v>
      </c>
      <c r="C179" s="200" t="s">
        <v>153</v>
      </c>
    </row>
    <row r="180" spans="1:8" x14ac:dyDescent="0.2">
      <c r="A180" s="200" t="s">
        <v>1</v>
      </c>
      <c r="B180" s="88" t="s">
        <v>154</v>
      </c>
      <c r="C180" s="88"/>
    </row>
    <row r="181" spans="1:8" x14ac:dyDescent="0.2">
      <c r="A181" s="200" t="s">
        <v>3</v>
      </c>
      <c r="B181" s="88" t="s">
        <v>46</v>
      </c>
      <c r="C181" s="144">
        <f>H172</f>
        <v>16763.752863452079</v>
      </c>
    </row>
    <row r="182" spans="1:8" ht="24" x14ac:dyDescent="0.2">
      <c r="A182" s="200" t="s">
        <v>5</v>
      </c>
      <c r="B182" s="88" t="s">
        <v>155</v>
      </c>
      <c r="C182" s="171">
        <f>H172*12</f>
        <v>201165.03436142494</v>
      </c>
    </row>
    <row r="184" spans="1:8" x14ac:dyDescent="0.2">
      <c r="A184" s="60"/>
      <c r="B184" s="60"/>
      <c r="C184" s="60"/>
      <c r="D184" s="60"/>
      <c r="E184" s="60"/>
      <c r="G184" s="49"/>
      <c r="H184" s="49"/>
    </row>
    <row r="185" spans="1:8" x14ac:dyDescent="0.2">
      <c r="A185" s="258" t="s">
        <v>64</v>
      </c>
      <c r="B185" s="258"/>
      <c r="C185" s="258"/>
      <c r="D185" s="258"/>
      <c r="E185" s="258"/>
    </row>
    <row r="186" spans="1:8" ht="27" customHeight="1" x14ac:dyDescent="0.2">
      <c r="A186" s="259" t="s">
        <v>67</v>
      </c>
      <c r="B186" s="259"/>
      <c r="C186" s="259"/>
      <c r="D186" s="259"/>
      <c r="E186" s="259"/>
    </row>
    <row r="187" spans="1:8" ht="46.5" customHeight="1" x14ac:dyDescent="0.2">
      <c r="A187" s="61"/>
      <c r="B187" s="62" t="s">
        <v>47</v>
      </c>
      <c r="C187" s="63" t="s">
        <v>48</v>
      </c>
      <c r="D187" s="63" t="s">
        <v>49</v>
      </c>
      <c r="E187" s="63" t="s">
        <v>50</v>
      </c>
    </row>
    <row r="188" spans="1:8" x14ac:dyDescent="0.2">
      <c r="A188" s="56" t="s">
        <v>1</v>
      </c>
      <c r="B188" s="58" t="s">
        <v>51</v>
      </c>
      <c r="C188" s="59">
        <f>1/800</f>
        <v>1.25E-3</v>
      </c>
      <c r="D188" s="64">
        <f>C166</f>
        <v>3352.7505726904155</v>
      </c>
      <c r="E188" s="65">
        <f>C188*D188</f>
        <v>4.1909382158630191</v>
      </c>
    </row>
    <row r="189" spans="1:8" x14ac:dyDescent="0.2">
      <c r="A189" s="79" t="s">
        <v>52</v>
      </c>
      <c r="B189" s="80"/>
      <c r="C189" s="80"/>
      <c r="D189" s="81"/>
      <c r="E189" s="66"/>
    </row>
    <row r="190" spans="1:8" x14ac:dyDescent="0.2">
      <c r="A190" s="260" t="s">
        <v>159</v>
      </c>
      <c r="B190" s="260"/>
      <c r="C190" s="260"/>
    </row>
    <row r="191" spans="1:8" x14ac:dyDescent="0.2">
      <c r="A191" s="110"/>
      <c r="B191" s="110"/>
      <c r="C191" s="110"/>
    </row>
    <row r="193" spans="1:9" x14ac:dyDescent="0.2">
      <c r="A193" s="258" t="s">
        <v>65</v>
      </c>
      <c r="B193" s="258"/>
      <c r="C193" s="258"/>
      <c r="D193" s="258"/>
      <c r="E193" s="258"/>
    </row>
    <row r="194" spans="1:9" ht="24" customHeight="1" x14ac:dyDescent="0.2">
      <c r="A194" s="259" t="s">
        <v>68</v>
      </c>
      <c r="B194" s="259"/>
      <c r="C194" s="259"/>
      <c r="D194" s="259"/>
      <c r="E194" s="259"/>
    </row>
    <row r="195" spans="1:9" ht="42" customHeight="1" x14ac:dyDescent="0.2">
      <c r="A195" s="61"/>
      <c r="B195" s="62" t="s">
        <v>47</v>
      </c>
      <c r="C195" s="63" t="s">
        <v>48</v>
      </c>
      <c r="D195" s="63" t="s">
        <v>49</v>
      </c>
      <c r="E195" s="63" t="s">
        <v>50</v>
      </c>
    </row>
    <row r="196" spans="1:9" x14ac:dyDescent="0.2">
      <c r="A196" s="56" t="s">
        <v>1</v>
      </c>
      <c r="B196" s="58" t="s">
        <v>51</v>
      </c>
      <c r="C196" s="59">
        <f>1/1800</f>
        <v>5.5555555555555556E-4</v>
      </c>
      <c r="D196" s="64">
        <f>C166</f>
        <v>3352.7505726904155</v>
      </c>
      <c r="E196" s="65">
        <f>C196*D196</f>
        <v>1.8626392070502309</v>
      </c>
      <c r="F196" s="63"/>
    </row>
    <row r="197" spans="1:9" x14ac:dyDescent="0.2">
      <c r="A197" s="79" t="s">
        <v>52</v>
      </c>
      <c r="B197" s="80"/>
      <c r="C197" s="80"/>
      <c r="D197" s="81"/>
      <c r="E197" s="66"/>
      <c r="F197" s="59"/>
    </row>
    <row r="198" spans="1:9" x14ac:dyDescent="0.2">
      <c r="A198" s="260" t="s">
        <v>160</v>
      </c>
      <c r="B198" s="260"/>
      <c r="C198" s="260"/>
    </row>
    <row r="201" spans="1:9" x14ac:dyDescent="0.2">
      <c r="A201" s="261" t="s">
        <v>66</v>
      </c>
      <c r="B201" s="261"/>
      <c r="C201" s="261"/>
      <c r="D201" s="261"/>
      <c r="E201" s="261"/>
      <c r="F201" s="261"/>
      <c r="G201" s="261"/>
      <c r="H201" s="261"/>
      <c r="I201" s="261"/>
    </row>
    <row r="202" spans="1:9" x14ac:dyDescent="0.2">
      <c r="A202" s="259" t="s">
        <v>69</v>
      </c>
      <c r="B202" s="259"/>
      <c r="C202" s="259"/>
      <c r="D202" s="259"/>
      <c r="E202" s="259"/>
      <c r="F202" s="259"/>
      <c r="G202" s="259"/>
      <c r="H202" s="259"/>
      <c r="I202" s="259"/>
    </row>
    <row r="203" spans="1:9" ht="72" x14ac:dyDescent="0.2">
      <c r="A203" s="106"/>
      <c r="B203" s="107" t="s">
        <v>47</v>
      </c>
      <c r="C203" s="108" t="s">
        <v>48</v>
      </c>
      <c r="D203" s="108" t="s">
        <v>53</v>
      </c>
      <c r="E203" s="108" t="s">
        <v>54</v>
      </c>
      <c r="G203" s="108" t="s">
        <v>55</v>
      </c>
      <c r="H203" s="108" t="s">
        <v>56</v>
      </c>
      <c r="I203" s="108" t="s">
        <v>57</v>
      </c>
    </row>
    <row r="204" spans="1:9" x14ac:dyDescent="0.2">
      <c r="A204" s="56" t="s">
        <v>1</v>
      </c>
      <c r="B204" s="58" t="s">
        <v>51</v>
      </c>
      <c r="C204" s="59">
        <f>1/300</f>
        <v>3.3333333333333335E-3</v>
      </c>
      <c r="D204" s="57">
        <v>16</v>
      </c>
      <c r="E204" s="56">
        <f>1/188.76</f>
        <v>5.2977325704598437E-3</v>
      </c>
      <c r="G204" s="67">
        <f>C204*D204*E204</f>
        <v>2.8254573709119167E-4</v>
      </c>
      <c r="H204" s="68">
        <f>C166</f>
        <v>3352.7505726904155</v>
      </c>
      <c r="I204" s="69">
        <f>G204*H204</f>
        <v>0.94730538184372848</v>
      </c>
    </row>
    <row r="205" spans="1:9" x14ac:dyDescent="0.2">
      <c r="A205" s="260" t="s">
        <v>156</v>
      </c>
      <c r="B205" s="260"/>
      <c r="C205" s="260"/>
      <c r="D205" s="70"/>
      <c r="E205" s="55"/>
    </row>
    <row r="206" spans="1:9" x14ac:dyDescent="0.2">
      <c r="A206" s="257" t="s">
        <v>185</v>
      </c>
      <c r="B206" s="257"/>
      <c r="C206" s="257"/>
    </row>
    <row r="207" spans="1:9" ht="15" customHeight="1" x14ac:dyDescent="0.2">
      <c r="A207" s="257" t="s">
        <v>371</v>
      </c>
      <c r="B207" s="257"/>
      <c r="C207" s="257"/>
    </row>
    <row r="208" spans="1:9" ht="15" customHeight="1" x14ac:dyDescent="0.2">
      <c r="A208" s="202" t="s">
        <v>157</v>
      </c>
      <c r="B208" s="202"/>
      <c r="C208" s="202"/>
    </row>
    <row r="209" spans="1:8" ht="15" customHeight="1" x14ac:dyDescent="0.2">
      <c r="A209" s="202" t="s">
        <v>158</v>
      </c>
      <c r="B209" s="202"/>
      <c r="C209" s="202"/>
    </row>
    <row r="210" spans="1:8" ht="15" customHeight="1" x14ac:dyDescent="0.2">
      <c r="A210" s="202" t="s">
        <v>161</v>
      </c>
      <c r="B210" s="202"/>
      <c r="C210" s="202"/>
    </row>
    <row r="211" spans="1:8" ht="15" customHeight="1" x14ac:dyDescent="0.2">
      <c r="A211" s="202"/>
      <c r="B211" s="202"/>
      <c r="C211" s="202"/>
    </row>
    <row r="212" spans="1:8" x14ac:dyDescent="0.2">
      <c r="H212" s="51"/>
    </row>
    <row r="213" spans="1:8" x14ac:dyDescent="0.2">
      <c r="A213" s="71" t="s">
        <v>58</v>
      </c>
      <c r="B213" s="71" t="s">
        <v>59</v>
      </c>
      <c r="C213" s="72" t="s">
        <v>181</v>
      </c>
      <c r="D213" s="71" t="s">
        <v>182</v>
      </c>
      <c r="E213" s="152" t="s">
        <v>184</v>
      </c>
      <c r="G213" s="71" t="s">
        <v>183</v>
      </c>
    </row>
    <row r="214" spans="1:8" x14ac:dyDescent="0.2">
      <c r="A214" s="66" t="s">
        <v>60</v>
      </c>
      <c r="B214" s="73">
        <v>2534.69</v>
      </c>
      <c r="C214" s="151">
        <v>4.01</v>
      </c>
      <c r="D214" s="149">
        <f>B214*C214</f>
        <v>10164.106899999999</v>
      </c>
      <c r="E214" s="149">
        <f>E188</f>
        <v>4.1909382158630191</v>
      </c>
      <c r="G214" s="74">
        <f>B214*E214</f>
        <v>10622.729186365836</v>
      </c>
    </row>
    <row r="215" spans="1:8" x14ac:dyDescent="0.2">
      <c r="A215" s="66" t="s">
        <v>61</v>
      </c>
      <c r="B215" s="73">
        <v>6083.09</v>
      </c>
      <c r="C215" s="151">
        <v>1.78</v>
      </c>
      <c r="D215" s="149">
        <f t="shared" ref="D215:D216" si="0">B215*C215</f>
        <v>10827.9002</v>
      </c>
      <c r="E215" s="149">
        <f>E196</f>
        <v>1.8626392070502309</v>
      </c>
      <c r="G215" s="74">
        <f>B215*E215</f>
        <v>11330.601934015189</v>
      </c>
    </row>
    <row r="216" spans="1:8" ht="12.75" x14ac:dyDescent="0.2">
      <c r="A216" s="66" t="s">
        <v>62</v>
      </c>
      <c r="B216" s="76">
        <v>708.04</v>
      </c>
      <c r="C216" s="151">
        <v>0.91</v>
      </c>
      <c r="D216" s="149">
        <f t="shared" si="0"/>
        <v>644.31640000000004</v>
      </c>
      <c r="E216" s="149">
        <f>I204</f>
        <v>0.94730538184372848</v>
      </c>
      <c r="G216" s="74">
        <f>B216*E216</f>
        <v>670.73010256063344</v>
      </c>
    </row>
    <row r="217" spans="1:8" x14ac:dyDescent="0.2">
      <c r="A217" s="77"/>
      <c r="B217" s="77"/>
      <c r="C217" s="78"/>
      <c r="D217" s="150">
        <f>SUM(D214:D216)</f>
        <v>21636.323499999999</v>
      </c>
      <c r="G217" s="75">
        <f>SUM(G214:G216)</f>
        <v>22624.061222941655</v>
      </c>
    </row>
  </sheetData>
  <mergeCells count="65">
    <mergeCell ref="A9:B9"/>
    <mergeCell ref="A1:D1"/>
    <mergeCell ref="A3:D3"/>
    <mergeCell ref="A5:D5"/>
    <mergeCell ref="A7:B7"/>
    <mergeCell ref="A8:B8"/>
    <mergeCell ref="A53:D53"/>
    <mergeCell ref="A11:C11"/>
    <mergeCell ref="A18:A20"/>
    <mergeCell ref="A21:B21"/>
    <mergeCell ref="A22:C22"/>
    <mergeCell ref="A23:C23"/>
    <mergeCell ref="A29:C29"/>
    <mergeCell ref="A31:C31"/>
    <mergeCell ref="A37:C37"/>
    <mergeCell ref="A39:C39"/>
    <mergeCell ref="A48:B48"/>
    <mergeCell ref="A51:D51"/>
    <mergeCell ref="A112:B112"/>
    <mergeCell ref="A57:B57"/>
    <mergeCell ref="A60:D60"/>
    <mergeCell ref="A70:B70"/>
    <mergeCell ref="A73:C73"/>
    <mergeCell ref="A80:B80"/>
    <mergeCell ref="A83:C83"/>
    <mergeCell ref="A88:B88"/>
    <mergeCell ref="A90:D90"/>
    <mergeCell ref="A99:B99"/>
    <mergeCell ref="A102:D102"/>
    <mergeCell ref="A104:D104"/>
    <mergeCell ref="A153:B153"/>
    <mergeCell ref="A115:D115"/>
    <mergeCell ref="A118:C118"/>
    <mergeCell ref="A121:C121"/>
    <mergeCell ref="A125:B125"/>
    <mergeCell ref="A128:C128"/>
    <mergeCell ref="A136:B136"/>
    <mergeCell ref="A137:C137"/>
    <mergeCell ref="A139:D139"/>
    <mergeCell ref="A150:C150"/>
    <mergeCell ref="A151:C151"/>
    <mergeCell ref="A152:C152"/>
    <mergeCell ref="A190:C190"/>
    <mergeCell ref="A156:C156"/>
    <mergeCell ref="A164:B164"/>
    <mergeCell ref="A166:B166"/>
    <mergeCell ref="A170:B171"/>
    <mergeCell ref="C170:C171"/>
    <mergeCell ref="A178:C178"/>
    <mergeCell ref="A185:E185"/>
    <mergeCell ref="A186:E186"/>
    <mergeCell ref="A168:H168"/>
    <mergeCell ref="D170:D171"/>
    <mergeCell ref="F170:F171"/>
    <mergeCell ref="G170:G171"/>
    <mergeCell ref="A173:H173"/>
    <mergeCell ref="A176:C176"/>
    <mergeCell ref="A206:C206"/>
    <mergeCell ref="A207:C207"/>
    <mergeCell ref="A193:E193"/>
    <mergeCell ref="A194:E194"/>
    <mergeCell ref="A198:C198"/>
    <mergeCell ref="A201:I201"/>
    <mergeCell ref="A202:I202"/>
    <mergeCell ref="A205:C205"/>
  </mergeCells>
  <pageMargins left="0.70866141732283472" right="0.1181102362204724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J33" sqref="J33"/>
    </sheetView>
  </sheetViews>
  <sheetFormatPr defaultRowHeight="12" x14ac:dyDescent="0.2"/>
  <cols>
    <col min="1" max="1" width="21.7109375" style="2" bestFit="1" customWidth="1"/>
    <col min="2" max="2" width="27" style="2" customWidth="1"/>
    <col min="3" max="3" width="25.5703125" style="2" customWidth="1"/>
    <col min="4" max="4" width="26.140625" style="2" customWidth="1"/>
    <col min="5" max="5" width="11.5703125" style="2" bestFit="1" customWidth="1"/>
    <col min="6" max="6" width="11.28515625" style="2" bestFit="1" customWidth="1"/>
    <col min="7" max="16384" width="9.140625" style="2"/>
  </cols>
  <sheetData>
    <row r="1" spans="1:6" ht="16.5" thickBot="1" x14ac:dyDescent="0.25">
      <c r="A1" s="301" t="s">
        <v>194</v>
      </c>
      <c r="B1" s="302"/>
      <c r="C1" s="302"/>
      <c r="D1" s="303"/>
    </row>
    <row r="2" spans="1:6" ht="16.5" thickBot="1" x14ac:dyDescent="0.25">
      <c r="A2" s="155" t="s">
        <v>186</v>
      </c>
      <c r="B2" s="156" t="s">
        <v>206</v>
      </c>
      <c r="C2" s="156" t="s">
        <v>187</v>
      </c>
      <c r="D2" s="156" t="s">
        <v>188</v>
      </c>
    </row>
    <row r="3" spans="1:6" ht="16.5" thickBot="1" x14ac:dyDescent="0.25">
      <c r="A3" s="157" t="s">
        <v>189</v>
      </c>
      <c r="B3" s="158">
        <v>3.88</v>
      </c>
      <c r="C3" s="159">
        <v>2534.69</v>
      </c>
      <c r="D3" s="160">
        <f>B3*C3</f>
        <v>9834.5972000000002</v>
      </c>
    </row>
    <row r="4" spans="1:6" ht="16.5" thickBot="1" x14ac:dyDescent="0.25">
      <c r="A4" s="157" t="s">
        <v>190</v>
      </c>
      <c r="B4" s="158">
        <v>1.72</v>
      </c>
      <c r="C4" s="159">
        <v>6083.09</v>
      </c>
      <c r="D4" s="160">
        <f>B4*C4</f>
        <v>10462.9148</v>
      </c>
    </row>
    <row r="5" spans="1:6" ht="16.5" thickBot="1" x14ac:dyDescent="0.25">
      <c r="A5" s="157" t="s">
        <v>191</v>
      </c>
      <c r="B5" s="158">
        <v>0.88</v>
      </c>
      <c r="C5" s="158">
        <v>708.04</v>
      </c>
      <c r="D5" s="160">
        <f>B5*C5</f>
        <v>623.0752</v>
      </c>
    </row>
    <row r="6" spans="1:6" ht="16.5" thickBot="1" x14ac:dyDescent="0.25">
      <c r="A6" s="304" t="s">
        <v>192</v>
      </c>
      <c r="B6" s="305"/>
      <c r="C6" s="306"/>
      <c r="D6" s="162">
        <f>SUM(D3:D5)</f>
        <v>20920.587200000002</v>
      </c>
    </row>
    <row r="7" spans="1:6" ht="16.5" thickBot="1" x14ac:dyDescent="0.25">
      <c r="A7" s="307" t="s">
        <v>193</v>
      </c>
      <c r="B7" s="308"/>
      <c r="C7" s="309"/>
      <c r="D7" s="161">
        <f>12*D6</f>
        <v>251047.04640000002</v>
      </c>
    </row>
    <row r="13" spans="1:6" x14ac:dyDescent="0.2">
      <c r="A13" s="71" t="s">
        <v>58</v>
      </c>
      <c r="B13" s="71" t="s">
        <v>59</v>
      </c>
      <c r="C13" s="72" t="s">
        <v>181</v>
      </c>
      <c r="D13" s="71" t="s">
        <v>182</v>
      </c>
      <c r="E13" s="152" t="s">
        <v>184</v>
      </c>
      <c r="F13" s="71" t="s">
        <v>183</v>
      </c>
    </row>
    <row r="14" spans="1:6" x14ac:dyDescent="0.2">
      <c r="A14" s="66" t="s">
        <v>60</v>
      </c>
      <c r="B14" s="73">
        <f>C3</f>
        <v>2534.69</v>
      </c>
      <c r="C14" s="151">
        <v>4.01</v>
      </c>
      <c r="D14" s="149">
        <f>B14*C14</f>
        <v>10164.106899999999</v>
      </c>
      <c r="E14" s="149">
        <f>B3</f>
        <v>3.88</v>
      </c>
      <c r="F14" s="74">
        <f>B14*E14</f>
        <v>9834.5972000000002</v>
      </c>
    </row>
    <row r="15" spans="1:6" x14ac:dyDescent="0.2">
      <c r="A15" s="66" t="s">
        <v>61</v>
      </c>
      <c r="B15" s="73">
        <f>C4</f>
        <v>6083.09</v>
      </c>
      <c r="C15" s="151">
        <v>1.78</v>
      </c>
      <c r="D15" s="149">
        <f t="shared" ref="D15:D16" si="0">B15*C15</f>
        <v>10827.9002</v>
      </c>
      <c r="E15" s="149">
        <f>B4</f>
        <v>1.72</v>
      </c>
      <c r="F15" s="74">
        <f>B15*E15</f>
        <v>10462.9148</v>
      </c>
    </row>
    <row r="16" spans="1:6" ht="12.75" x14ac:dyDescent="0.2">
      <c r="A16" s="66" t="s">
        <v>62</v>
      </c>
      <c r="B16" s="76">
        <f>C5</f>
        <v>708.04</v>
      </c>
      <c r="C16" s="151">
        <v>0.91</v>
      </c>
      <c r="D16" s="149">
        <f t="shared" si="0"/>
        <v>644.31640000000004</v>
      </c>
      <c r="E16" s="149">
        <f>B5</f>
        <v>0.88</v>
      </c>
      <c r="F16" s="74">
        <f>B16*E16</f>
        <v>623.0752</v>
      </c>
    </row>
    <row r="17" spans="1:6" s="49" customFormat="1" x14ac:dyDescent="0.2">
      <c r="A17" s="77"/>
      <c r="B17" s="77"/>
      <c r="C17" s="78"/>
      <c r="D17" s="150">
        <f>SUM(D14:D16)</f>
        <v>21636.323499999999</v>
      </c>
      <c r="E17" s="2"/>
      <c r="F17" s="75">
        <f>SUM(F14:F16)</f>
        <v>20920.587200000002</v>
      </c>
    </row>
    <row r="19" spans="1:6" ht="27.75" customHeight="1" x14ac:dyDescent="0.2"/>
    <row r="25" spans="1:6" x14ac:dyDescent="0.2">
      <c r="A25" s="71" t="s">
        <v>58</v>
      </c>
      <c r="B25" s="71" t="s">
        <v>59</v>
      </c>
      <c r="C25" s="72" t="s">
        <v>207</v>
      </c>
    </row>
    <row r="26" spans="1:6" x14ac:dyDescent="0.2">
      <c r="A26" s="66" t="s">
        <v>60</v>
      </c>
      <c r="B26" s="73">
        <v>2731.88</v>
      </c>
      <c r="C26" s="151">
        <v>880</v>
      </c>
      <c r="F26" s="51"/>
    </row>
    <row r="27" spans="1:6" x14ac:dyDescent="0.2">
      <c r="A27" s="66" t="s">
        <v>61</v>
      </c>
      <c r="B27" s="73">
        <v>6083.09</v>
      </c>
      <c r="C27" s="151">
        <v>1980</v>
      </c>
      <c r="D27" s="51"/>
      <c r="F27" s="51"/>
    </row>
    <row r="28" spans="1:6" ht="12.75" x14ac:dyDescent="0.2">
      <c r="A28" s="66" t="s">
        <v>62</v>
      </c>
      <c r="B28" s="172">
        <v>636.32000000000005</v>
      </c>
      <c r="C28" s="151">
        <v>330</v>
      </c>
      <c r="D28" s="51"/>
      <c r="F28" s="51"/>
    </row>
    <row r="33" spans="1:5" ht="24.75" customHeight="1" x14ac:dyDescent="0.2"/>
    <row r="34" spans="1:5" ht="40.5" x14ac:dyDescent="0.2">
      <c r="A34" s="164" t="s">
        <v>205</v>
      </c>
      <c r="B34" s="164" t="s">
        <v>200</v>
      </c>
      <c r="C34" s="164" t="s">
        <v>201</v>
      </c>
      <c r="D34" s="164" t="s">
        <v>198</v>
      </c>
      <c r="E34" s="170" t="s">
        <v>202</v>
      </c>
    </row>
    <row r="35" spans="1:5" ht="15.75" x14ac:dyDescent="0.25">
      <c r="A35" s="163" t="s">
        <v>195</v>
      </c>
      <c r="B35" s="165">
        <v>800</v>
      </c>
      <c r="C35" s="166">
        <f>B35/D35</f>
        <v>100</v>
      </c>
      <c r="D35" s="165">
        <v>8</v>
      </c>
      <c r="E35" s="167">
        <f>C35*D35</f>
        <v>800</v>
      </c>
    </row>
    <row r="36" spans="1:5" ht="15.75" x14ac:dyDescent="0.25">
      <c r="A36" s="163" t="s">
        <v>196</v>
      </c>
      <c r="B36" s="165">
        <v>1800</v>
      </c>
      <c r="C36" s="166">
        <f>B36/D36</f>
        <v>225</v>
      </c>
      <c r="D36" s="165">
        <v>8</v>
      </c>
      <c r="E36" s="167">
        <f t="shared" ref="E36:E37" si="1">C36*D36</f>
        <v>1800</v>
      </c>
    </row>
    <row r="37" spans="1:5" ht="15.75" x14ac:dyDescent="0.25">
      <c r="A37" s="163" t="s">
        <v>197</v>
      </c>
      <c r="B37" s="165">
        <v>300</v>
      </c>
      <c r="C37" s="166">
        <f>B37/D37</f>
        <v>37.5</v>
      </c>
      <c r="D37" s="165">
        <v>8</v>
      </c>
      <c r="E37" s="167">
        <f t="shared" si="1"/>
        <v>300</v>
      </c>
    </row>
    <row r="38" spans="1:5" ht="15" x14ac:dyDescent="0.25">
      <c r="A38"/>
      <c r="B38"/>
      <c r="C38"/>
      <c r="D38"/>
      <c r="E38"/>
    </row>
    <row r="39" spans="1:5" ht="15" customHeight="1" x14ac:dyDescent="0.25">
      <c r="A39"/>
      <c r="B39"/>
      <c r="C39"/>
      <c r="D39"/>
      <c r="E39"/>
    </row>
    <row r="40" spans="1:5" ht="40.5" x14ac:dyDescent="0.2">
      <c r="A40" s="164" t="s">
        <v>205</v>
      </c>
      <c r="B40" s="164" t="s">
        <v>200</v>
      </c>
      <c r="C40" s="164" t="s">
        <v>201</v>
      </c>
      <c r="D40" s="164" t="s">
        <v>203</v>
      </c>
      <c r="E40" s="169" t="s">
        <v>204</v>
      </c>
    </row>
    <row r="41" spans="1:5" ht="15.75" x14ac:dyDescent="0.25">
      <c r="A41" s="163" t="s">
        <v>195</v>
      </c>
      <c r="B41" s="165">
        <v>800</v>
      </c>
      <c r="C41" s="166">
        <v>100</v>
      </c>
      <c r="D41" s="165">
        <v>8.8000000000000007</v>
      </c>
      <c r="E41" s="167">
        <f>C41*D41</f>
        <v>880.00000000000011</v>
      </c>
    </row>
    <row r="42" spans="1:5" ht="15.75" x14ac:dyDescent="0.25">
      <c r="A42" s="163" t="s">
        <v>196</v>
      </c>
      <c r="B42" s="165">
        <v>1800</v>
      </c>
      <c r="C42" s="166">
        <v>225</v>
      </c>
      <c r="D42" s="165">
        <v>8.8000000000000007</v>
      </c>
      <c r="E42" s="167">
        <f>C42*D42</f>
        <v>1980.0000000000002</v>
      </c>
    </row>
    <row r="43" spans="1:5" ht="15.75" x14ac:dyDescent="0.25">
      <c r="A43" s="163" t="s">
        <v>197</v>
      </c>
      <c r="B43" s="165">
        <v>300</v>
      </c>
      <c r="C43" s="166">
        <v>37.5</v>
      </c>
      <c r="D43" s="165">
        <v>8.8000000000000007</v>
      </c>
      <c r="E43" s="167">
        <f>C43*D43</f>
        <v>330</v>
      </c>
    </row>
    <row r="44" spans="1:5" ht="15" x14ac:dyDescent="0.25">
      <c r="A44"/>
      <c r="B44"/>
      <c r="C44"/>
      <c r="D44"/>
      <c r="E44"/>
    </row>
    <row r="45" spans="1:5" ht="15" customHeight="1" x14ac:dyDescent="0.25">
      <c r="A45"/>
      <c r="B45"/>
      <c r="C45"/>
      <c r="D45"/>
      <c r="E45"/>
    </row>
    <row r="46" spans="1:5" ht="15" customHeight="1" x14ac:dyDescent="0.25">
      <c r="A46"/>
      <c r="B46" s="168" t="s">
        <v>199</v>
      </c>
      <c r="C46" s="168" t="s">
        <v>32</v>
      </c>
      <c r="D46"/>
      <c r="E46"/>
    </row>
    <row r="47" spans="1:5" ht="15" x14ac:dyDescent="0.25">
      <c r="A47"/>
      <c r="B47" s="168">
        <v>60</v>
      </c>
      <c r="C47" s="168">
        <v>100</v>
      </c>
      <c r="D47"/>
      <c r="E47"/>
    </row>
    <row r="48" spans="1:5" ht="15" x14ac:dyDescent="0.25">
      <c r="A48"/>
      <c r="B48" s="168">
        <v>48</v>
      </c>
      <c r="C48" s="168">
        <f>(B48*C47)/B47</f>
        <v>80</v>
      </c>
      <c r="D48"/>
      <c r="E48"/>
    </row>
    <row r="49" spans="1:4" x14ac:dyDescent="0.2">
      <c r="B49" s="310" t="s">
        <v>81</v>
      </c>
      <c r="C49" s="310"/>
    </row>
    <row r="50" spans="1:4" x14ac:dyDescent="0.2">
      <c r="B50" s="72" t="s">
        <v>358</v>
      </c>
      <c r="C50" s="72" t="s">
        <v>359</v>
      </c>
    </row>
    <row r="51" spans="1:4" x14ac:dyDescent="0.2">
      <c r="A51" s="55"/>
      <c r="B51" s="131" t="s">
        <v>290</v>
      </c>
      <c r="C51" s="146">
        <v>3589.38</v>
      </c>
    </row>
    <row r="52" spans="1:4" x14ac:dyDescent="0.2">
      <c r="A52" s="55"/>
      <c r="B52" s="208" t="s">
        <v>295</v>
      </c>
      <c r="C52" s="146">
        <v>3627.36</v>
      </c>
    </row>
    <row r="53" spans="1:4" x14ac:dyDescent="0.2">
      <c r="A53" s="55"/>
      <c r="B53" s="131" t="s">
        <v>277</v>
      </c>
      <c r="C53" s="146">
        <v>3391.1</v>
      </c>
    </row>
    <row r="54" spans="1:4" x14ac:dyDescent="0.2">
      <c r="B54" s="239" t="s">
        <v>360</v>
      </c>
      <c r="C54" s="240">
        <f>AVERAGE(C51:C53)</f>
        <v>3535.9466666666667</v>
      </c>
    </row>
    <row r="58" spans="1:4" x14ac:dyDescent="0.2">
      <c r="B58" s="2" t="s">
        <v>366</v>
      </c>
    </row>
    <row r="59" spans="1:4" x14ac:dyDescent="0.2">
      <c r="B59" s="2" t="s">
        <v>59</v>
      </c>
      <c r="C59" s="2" t="s">
        <v>367</v>
      </c>
      <c r="D59" s="2" t="s">
        <v>272</v>
      </c>
    </row>
    <row r="60" spans="1:4" x14ac:dyDescent="0.2">
      <c r="B60" s="2">
        <v>11570.42</v>
      </c>
      <c r="C60" s="50">
        <v>0.54159999999999997</v>
      </c>
      <c r="D60" s="50">
        <f>B60*C60</f>
        <v>6266.5394719999995</v>
      </c>
    </row>
  </sheetData>
  <mergeCells count="4">
    <mergeCell ref="A1:D1"/>
    <mergeCell ref="A6:C6"/>
    <mergeCell ref="A7:C7"/>
    <mergeCell ref="B49:C4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N22" sqref="N22"/>
    </sheetView>
  </sheetViews>
  <sheetFormatPr defaultRowHeight="11.25" x14ac:dyDescent="0.2"/>
  <cols>
    <col min="1" max="1" width="7.140625" style="173" bestFit="1" customWidth="1"/>
    <col min="2" max="2" width="32.28515625" style="173" customWidth="1"/>
    <col min="3" max="3" width="10.5703125" style="173" customWidth="1"/>
    <col min="4" max="13" width="9.140625" style="173"/>
    <col min="14" max="14" width="13.7109375" style="173" customWidth="1"/>
    <col min="15" max="15" width="11.42578125" style="173" customWidth="1"/>
    <col min="16" max="16384" width="9.140625" style="173"/>
  </cols>
  <sheetData>
    <row r="1" spans="1:15" ht="15" customHeight="1" x14ac:dyDescent="0.2">
      <c r="B1" s="311"/>
      <c r="C1" s="311"/>
      <c r="D1" s="312"/>
      <c r="E1" s="327" t="s">
        <v>269</v>
      </c>
      <c r="F1" s="328"/>
      <c r="G1" s="329"/>
      <c r="H1" s="324" t="s">
        <v>271</v>
      </c>
      <c r="I1" s="325"/>
      <c r="J1" s="326"/>
      <c r="K1" s="321" t="s">
        <v>270</v>
      </c>
      <c r="L1" s="322"/>
      <c r="M1" s="323"/>
      <c r="N1" s="318" t="s">
        <v>273</v>
      </c>
      <c r="O1" s="320" t="s">
        <v>272</v>
      </c>
    </row>
    <row r="2" spans="1:15" ht="22.5" x14ac:dyDescent="0.2">
      <c r="A2" s="182" t="s">
        <v>210</v>
      </c>
      <c r="B2" s="174" t="s">
        <v>258</v>
      </c>
      <c r="C2" s="175" t="s">
        <v>264</v>
      </c>
      <c r="D2" s="179" t="s">
        <v>210</v>
      </c>
      <c r="E2" s="182" t="s">
        <v>266</v>
      </c>
      <c r="F2" s="182" t="s">
        <v>267</v>
      </c>
      <c r="G2" s="182" t="s">
        <v>268</v>
      </c>
      <c r="H2" s="182" t="s">
        <v>266</v>
      </c>
      <c r="I2" s="182" t="s">
        <v>267</v>
      </c>
      <c r="J2" s="182" t="s">
        <v>268</v>
      </c>
      <c r="K2" s="182" t="s">
        <v>266</v>
      </c>
      <c r="L2" s="182" t="s">
        <v>267</v>
      </c>
      <c r="M2" s="182" t="s">
        <v>268</v>
      </c>
      <c r="N2" s="319"/>
      <c r="O2" s="320"/>
    </row>
    <row r="3" spans="1:15" ht="22.5" x14ac:dyDescent="0.2">
      <c r="A3" s="182">
        <v>1</v>
      </c>
      <c r="B3" s="176" t="s">
        <v>259</v>
      </c>
      <c r="C3" s="176">
        <v>4</v>
      </c>
      <c r="D3" s="180" t="s">
        <v>215</v>
      </c>
      <c r="E3" s="205" t="s">
        <v>274</v>
      </c>
      <c r="F3" s="204">
        <v>510909</v>
      </c>
      <c r="G3" s="206">
        <v>32.99</v>
      </c>
      <c r="H3" s="204" t="s">
        <v>291</v>
      </c>
      <c r="I3" s="204">
        <v>925133</v>
      </c>
      <c r="J3" s="206">
        <v>35</v>
      </c>
      <c r="K3" s="204" t="s">
        <v>285</v>
      </c>
      <c r="L3" s="204">
        <v>974004</v>
      </c>
      <c r="M3" s="206">
        <v>36.979999999999997</v>
      </c>
      <c r="N3" s="207">
        <f>(G3+J3+M3)/3</f>
        <v>34.99</v>
      </c>
      <c r="O3" s="207">
        <f>C3*N3</f>
        <v>139.96</v>
      </c>
    </row>
    <row r="4" spans="1:15" ht="22.5" x14ac:dyDescent="0.2">
      <c r="A4" s="182">
        <v>2</v>
      </c>
      <c r="B4" s="176" t="s">
        <v>260</v>
      </c>
      <c r="C4" s="176">
        <v>4</v>
      </c>
      <c r="D4" s="181" t="s">
        <v>215</v>
      </c>
      <c r="E4" s="204" t="s">
        <v>291</v>
      </c>
      <c r="F4" s="204">
        <v>925133</v>
      </c>
      <c r="G4" s="206">
        <v>30</v>
      </c>
      <c r="H4" s="204" t="s">
        <v>278</v>
      </c>
      <c r="I4" s="204">
        <v>170078</v>
      </c>
      <c r="J4" s="206">
        <v>21.6</v>
      </c>
      <c r="K4" s="204" t="s">
        <v>294</v>
      </c>
      <c r="L4" s="204">
        <v>393024</v>
      </c>
      <c r="M4" s="206">
        <v>15</v>
      </c>
      <c r="N4" s="207">
        <f t="shared" ref="N4:N8" si="0">(G4+J4+M4)/3</f>
        <v>22.2</v>
      </c>
      <c r="O4" s="207">
        <f t="shared" ref="O4:O8" si="1">C4*N4</f>
        <v>88.8</v>
      </c>
    </row>
    <row r="5" spans="1:15" ht="22.5" x14ac:dyDescent="0.2">
      <c r="A5" s="182">
        <v>3</v>
      </c>
      <c r="B5" s="176" t="s">
        <v>261</v>
      </c>
      <c r="C5" s="176">
        <v>2</v>
      </c>
      <c r="D5" s="180" t="s">
        <v>215</v>
      </c>
      <c r="E5" s="205" t="s">
        <v>347</v>
      </c>
      <c r="F5" s="204">
        <v>135048</v>
      </c>
      <c r="G5" s="206">
        <v>78</v>
      </c>
      <c r="H5" s="204" t="s">
        <v>342</v>
      </c>
      <c r="I5" s="204">
        <v>135038</v>
      </c>
      <c r="J5" s="206">
        <v>60.84</v>
      </c>
      <c r="K5" s="204" t="s">
        <v>310</v>
      </c>
      <c r="L5" s="204">
        <v>135024</v>
      </c>
      <c r="M5" s="206">
        <v>86.43</v>
      </c>
      <c r="N5" s="207">
        <f t="shared" si="0"/>
        <v>75.09</v>
      </c>
      <c r="O5" s="207">
        <f t="shared" si="1"/>
        <v>150.18</v>
      </c>
    </row>
    <row r="6" spans="1:15" ht="33.75" x14ac:dyDescent="0.2">
      <c r="A6" s="182">
        <v>4</v>
      </c>
      <c r="B6" s="176" t="s">
        <v>262</v>
      </c>
      <c r="C6" s="176">
        <v>1</v>
      </c>
      <c r="D6" s="180" t="s">
        <v>215</v>
      </c>
      <c r="E6" s="204" t="s">
        <v>291</v>
      </c>
      <c r="F6" s="204">
        <v>925133</v>
      </c>
      <c r="G6" s="206">
        <v>35.56</v>
      </c>
      <c r="H6" s="204" t="s">
        <v>278</v>
      </c>
      <c r="I6" s="204">
        <v>170078</v>
      </c>
      <c r="J6" s="206">
        <v>38.4</v>
      </c>
      <c r="K6" s="204" t="s">
        <v>346</v>
      </c>
      <c r="L6" s="204">
        <v>988841</v>
      </c>
      <c r="M6" s="206">
        <v>52.17</v>
      </c>
      <c r="N6" s="207">
        <f t="shared" si="0"/>
        <v>42.043333333333337</v>
      </c>
      <c r="O6" s="207">
        <f t="shared" si="1"/>
        <v>42.043333333333337</v>
      </c>
    </row>
    <row r="7" spans="1:15" ht="22.5" x14ac:dyDescent="0.2">
      <c r="A7" s="182">
        <v>5</v>
      </c>
      <c r="B7" s="176" t="s">
        <v>263</v>
      </c>
      <c r="C7" s="176">
        <v>6</v>
      </c>
      <c r="D7" s="180" t="s">
        <v>265</v>
      </c>
      <c r="E7" s="204" t="s">
        <v>291</v>
      </c>
      <c r="F7" s="204">
        <v>925133</v>
      </c>
      <c r="G7" s="206">
        <v>8</v>
      </c>
      <c r="H7" s="204" t="s">
        <v>278</v>
      </c>
      <c r="I7" s="204">
        <v>170078</v>
      </c>
      <c r="J7" s="206">
        <v>5.76</v>
      </c>
      <c r="K7" s="204" t="s">
        <v>285</v>
      </c>
      <c r="L7" s="204">
        <v>974004</v>
      </c>
      <c r="M7" s="206">
        <v>4.5</v>
      </c>
      <c r="N7" s="207">
        <f t="shared" si="0"/>
        <v>6.086666666666666</v>
      </c>
      <c r="O7" s="207">
        <f t="shared" si="1"/>
        <v>36.519999999999996</v>
      </c>
    </row>
    <row r="8" spans="1:15" ht="23.25" thickBot="1" x14ac:dyDescent="0.25">
      <c r="A8" s="227">
        <v>6</v>
      </c>
      <c r="B8" s="220" t="s">
        <v>348</v>
      </c>
      <c r="C8" s="220">
        <v>1</v>
      </c>
      <c r="D8" s="221" t="s">
        <v>215</v>
      </c>
      <c r="E8" s="222" t="s">
        <v>349</v>
      </c>
      <c r="F8" s="222">
        <v>158507</v>
      </c>
      <c r="G8" s="223">
        <v>12</v>
      </c>
      <c r="H8" s="222" t="s">
        <v>350</v>
      </c>
      <c r="I8" s="222">
        <v>158518</v>
      </c>
      <c r="J8" s="223">
        <v>10.5</v>
      </c>
      <c r="K8" s="222" t="s">
        <v>286</v>
      </c>
      <c r="L8" s="222">
        <v>450522</v>
      </c>
      <c r="M8" s="223">
        <v>9.99</v>
      </c>
      <c r="N8" s="218">
        <f t="shared" si="0"/>
        <v>10.83</v>
      </c>
      <c r="O8" s="218">
        <f t="shared" si="1"/>
        <v>10.83</v>
      </c>
    </row>
    <row r="9" spans="1:15" ht="15.75" customHeight="1" thickBot="1" x14ac:dyDescent="0.25">
      <c r="A9" s="313" t="s">
        <v>352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4"/>
      <c r="O9" s="232">
        <f>SUM(O3:O8)</f>
        <v>468.33333333333331</v>
      </c>
    </row>
    <row r="10" spans="1:15" ht="13.5" thickBot="1" x14ac:dyDescent="0.25">
      <c r="A10" s="315" t="s">
        <v>353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7"/>
      <c r="O10" s="238">
        <f>O9/12</f>
        <v>39.027777777777779</v>
      </c>
    </row>
  </sheetData>
  <mergeCells count="8">
    <mergeCell ref="B1:D1"/>
    <mergeCell ref="A9:N9"/>
    <mergeCell ref="A10:N10"/>
    <mergeCell ref="N1:N2"/>
    <mergeCell ref="O1:O2"/>
    <mergeCell ref="K1:M1"/>
    <mergeCell ref="H1:J1"/>
    <mergeCell ref="E1:G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Q10" sqref="Q10"/>
    </sheetView>
  </sheetViews>
  <sheetFormatPr defaultRowHeight="11.25" x14ac:dyDescent="0.2"/>
  <cols>
    <col min="1" max="1" width="4.28515625" style="173" bestFit="1" customWidth="1"/>
    <col min="2" max="2" width="31.28515625" style="173" customWidth="1"/>
    <col min="3" max="13" width="9.140625" style="173"/>
    <col min="14" max="14" width="13.7109375" style="173" customWidth="1"/>
    <col min="15" max="15" width="12.42578125" style="173" bestFit="1" customWidth="1"/>
    <col min="16" max="16384" width="9.140625" style="173"/>
  </cols>
  <sheetData>
    <row r="1" spans="1:15" s="203" customFormat="1" x14ac:dyDescent="0.2">
      <c r="A1" s="311"/>
      <c r="B1" s="311"/>
      <c r="C1" s="311"/>
      <c r="D1" s="312"/>
      <c r="E1" s="327" t="s">
        <v>269</v>
      </c>
      <c r="F1" s="328"/>
      <c r="G1" s="329"/>
      <c r="H1" s="324" t="s">
        <v>271</v>
      </c>
      <c r="I1" s="325"/>
      <c r="J1" s="326"/>
      <c r="K1" s="321" t="s">
        <v>270</v>
      </c>
      <c r="L1" s="322"/>
      <c r="M1" s="323"/>
      <c r="N1" s="320" t="s">
        <v>273</v>
      </c>
      <c r="O1" s="320" t="s">
        <v>272</v>
      </c>
    </row>
    <row r="2" spans="1:15" ht="22.5" x14ac:dyDescent="0.2">
      <c r="A2" s="183" t="s">
        <v>208</v>
      </c>
      <c r="B2" s="183" t="s">
        <v>209</v>
      </c>
      <c r="C2" s="183" t="s">
        <v>235</v>
      </c>
      <c r="D2" s="183" t="s">
        <v>210</v>
      </c>
      <c r="E2" s="182" t="s">
        <v>266</v>
      </c>
      <c r="F2" s="182" t="s">
        <v>267</v>
      </c>
      <c r="G2" s="182" t="s">
        <v>268</v>
      </c>
      <c r="H2" s="182" t="s">
        <v>266</v>
      </c>
      <c r="I2" s="182" t="s">
        <v>267</v>
      </c>
      <c r="J2" s="182" t="s">
        <v>268</v>
      </c>
      <c r="K2" s="182" t="s">
        <v>266</v>
      </c>
      <c r="L2" s="182" t="s">
        <v>267</v>
      </c>
      <c r="M2" s="182" t="s">
        <v>268</v>
      </c>
      <c r="N2" s="320"/>
      <c r="O2" s="320"/>
    </row>
    <row r="3" spans="1:15" ht="22.5" x14ac:dyDescent="0.2">
      <c r="A3" s="184">
        <v>1</v>
      </c>
      <c r="B3" s="185" t="s">
        <v>281</v>
      </c>
      <c r="C3" s="184">
        <v>48</v>
      </c>
      <c r="D3" s="184" t="s">
        <v>213</v>
      </c>
      <c r="E3" s="205" t="s">
        <v>274</v>
      </c>
      <c r="F3" s="204">
        <v>510909</v>
      </c>
      <c r="G3" s="206">
        <v>6.5</v>
      </c>
      <c r="H3" s="204" t="s">
        <v>278</v>
      </c>
      <c r="I3" s="204">
        <v>170078</v>
      </c>
      <c r="J3" s="206">
        <f>1.21*5</f>
        <v>6.05</v>
      </c>
      <c r="K3" s="204" t="s">
        <v>285</v>
      </c>
      <c r="L3" s="204">
        <v>974004</v>
      </c>
      <c r="M3" s="206">
        <f>0.99*5</f>
        <v>4.95</v>
      </c>
      <c r="N3" s="207">
        <f>(G3+J3+M3)/3</f>
        <v>5.833333333333333</v>
      </c>
      <c r="O3" s="207">
        <f>C3*N3</f>
        <v>280</v>
      </c>
    </row>
    <row r="4" spans="1:15" ht="22.5" x14ac:dyDescent="0.2">
      <c r="A4" s="184">
        <v>2</v>
      </c>
      <c r="B4" s="216" t="s">
        <v>211</v>
      </c>
      <c r="C4" s="184">
        <v>24</v>
      </c>
      <c r="D4" s="184" t="s">
        <v>212</v>
      </c>
      <c r="E4" s="211" t="s">
        <v>345</v>
      </c>
      <c r="F4" s="211">
        <v>925317</v>
      </c>
      <c r="G4" s="212">
        <v>5.6</v>
      </c>
      <c r="H4" s="211" t="s">
        <v>328</v>
      </c>
      <c r="I4" s="211">
        <v>160339</v>
      </c>
      <c r="J4" s="212">
        <v>4.45</v>
      </c>
      <c r="K4" s="211" t="s">
        <v>326</v>
      </c>
      <c r="L4" s="211">
        <v>160525</v>
      </c>
      <c r="M4" s="212">
        <v>4.8</v>
      </c>
      <c r="N4" s="207">
        <f t="shared" ref="N4:N25" si="0">(G4+J4+M4)/3</f>
        <v>4.95</v>
      </c>
      <c r="O4" s="207">
        <f t="shared" ref="O4:O25" si="1">C4*N4</f>
        <v>118.80000000000001</v>
      </c>
    </row>
    <row r="5" spans="1:15" ht="22.5" x14ac:dyDescent="0.2">
      <c r="A5" s="184">
        <v>3</v>
      </c>
      <c r="B5" s="185" t="s">
        <v>214</v>
      </c>
      <c r="C5" s="184">
        <v>60</v>
      </c>
      <c r="D5" s="184" t="s">
        <v>215</v>
      </c>
      <c r="E5" s="205" t="s">
        <v>274</v>
      </c>
      <c r="F5" s="204">
        <v>510909</v>
      </c>
      <c r="G5" s="206">
        <v>6.6</v>
      </c>
      <c r="H5" s="204" t="s">
        <v>293</v>
      </c>
      <c r="I5" s="204">
        <v>290002</v>
      </c>
      <c r="J5" s="206">
        <v>5.9</v>
      </c>
      <c r="K5" s="204" t="s">
        <v>285</v>
      </c>
      <c r="L5" s="204">
        <v>974004</v>
      </c>
      <c r="M5" s="206">
        <v>7.3</v>
      </c>
      <c r="N5" s="207">
        <f t="shared" si="0"/>
        <v>6.6000000000000005</v>
      </c>
      <c r="O5" s="207">
        <f t="shared" si="1"/>
        <v>396.00000000000006</v>
      </c>
    </row>
    <row r="6" spans="1:15" ht="22.5" x14ac:dyDescent="0.2">
      <c r="A6" s="184">
        <v>4</v>
      </c>
      <c r="B6" s="185" t="s">
        <v>216</v>
      </c>
      <c r="C6" s="184">
        <v>288</v>
      </c>
      <c r="D6" s="184" t="s">
        <v>215</v>
      </c>
      <c r="E6" s="205" t="s">
        <v>274</v>
      </c>
      <c r="F6" s="204">
        <v>510909</v>
      </c>
      <c r="G6" s="206">
        <v>0.9</v>
      </c>
      <c r="H6" s="204" t="s">
        <v>278</v>
      </c>
      <c r="I6" s="204">
        <v>170078</v>
      </c>
      <c r="J6" s="206">
        <v>1.1000000000000001</v>
      </c>
      <c r="K6" s="204" t="s">
        <v>293</v>
      </c>
      <c r="L6" s="204">
        <v>290002</v>
      </c>
      <c r="M6" s="206">
        <v>1.5</v>
      </c>
      <c r="N6" s="207">
        <f t="shared" si="0"/>
        <v>1.1666666666666667</v>
      </c>
      <c r="O6" s="207">
        <f t="shared" si="1"/>
        <v>336</v>
      </c>
    </row>
    <row r="7" spans="1:15" ht="67.5" x14ac:dyDescent="0.2">
      <c r="A7" s="184">
        <v>5</v>
      </c>
      <c r="B7" s="185" t="s">
        <v>233</v>
      </c>
      <c r="C7" s="184">
        <v>24</v>
      </c>
      <c r="D7" s="184" t="s">
        <v>217</v>
      </c>
      <c r="E7" s="205" t="s">
        <v>274</v>
      </c>
      <c r="F7" s="204">
        <v>510909</v>
      </c>
      <c r="G7" s="206">
        <v>16</v>
      </c>
      <c r="H7" s="204" t="s">
        <v>278</v>
      </c>
      <c r="I7" s="204">
        <v>170078</v>
      </c>
      <c r="J7" s="206">
        <f>1.93*5</f>
        <v>9.65</v>
      </c>
      <c r="K7" s="204" t="s">
        <v>285</v>
      </c>
      <c r="L7" s="204">
        <v>974004</v>
      </c>
      <c r="M7" s="206">
        <v>40.76</v>
      </c>
      <c r="N7" s="207">
        <f t="shared" si="0"/>
        <v>22.136666666666667</v>
      </c>
      <c r="O7" s="207">
        <f t="shared" si="1"/>
        <v>531.28</v>
      </c>
    </row>
    <row r="8" spans="1:15" ht="33.75" x14ac:dyDescent="0.2">
      <c r="A8" s="184">
        <v>6</v>
      </c>
      <c r="B8" s="185" t="s">
        <v>218</v>
      </c>
      <c r="C8" s="184">
        <v>48</v>
      </c>
      <c r="D8" s="186" t="s">
        <v>217</v>
      </c>
      <c r="E8" s="205" t="s">
        <v>274</v>
      </c>
      <c r="F8" s="204">
        <v>510909</v>
      </c>
      <c r="G8" s="206">
        <v>6.5</v>
      </c>
      <c r="H8" s="204" t="s">
        <v>278</v>
      </c>
      <c r="I8" s="204">
        <v>170078</v>
      </c>
      <c r="J8" s="206">
        <f>1.43*5</f>
        <v>7.1499999999999995</v>
      </c>
      <c r="K8" s="204" t="s">
        <v>292</v>
      </c>
      <c r="L8" s="204">
        <v>120623</v>
      </c>
      <c r="M8" s="206">
        <v>8.99</v>
      </c>
      <c r="N8" s="207">
        <f t="shared" si="0"/>
        <v>7.5466666666666669</v>
      </c>
      <c r="O8" s="207">
        <f t="shared" si="1"/>
        <v>362.24</v>
      </c>
    </row>
    <row r="9" spans="1:15" ht="22.5" x14ac:dyDescent="0.2">
      <c r="A9" s="184">
        <v>7</v>
      </c>
      <c r="B9" s="185" t="s">
        <v>219</v>
      </c>
      <c r="C9" s="184">
        <v>24</v>
      </c>
      <c r="D9" s="184" t="s">
        <v>215</v>
      </c>
      <c r="E9" s="205" t="s">
        <v>274</v>
      </c>
      <c r="F9" s="204">
        <v>510909</v>
      </c>
      <c r="G9" s="206">
        <v>1.18</v>
      </c>
      <c r="H9" s="204" t="s">
        <v>278</v>
      </c>
      <c r="I9" s="204">
        <v>170078</v>
      </c>
      <c r="J9" s="206">
        <v>1.03</v>
      </c>
      <c r="K9" s="211" t="s">
        <v>294</v>
      </c>
      <c r="L9" s="211">
        <v>393024</v>
      </c>
      <c r="M9" s="212">
        <v>1.1000000000000001</v>
      </c>
      <c r="N9" s="207">
        <f t="shared" si="0"/>
        <v>1.1033333333333333</v>
      </c>
      <c r="O9" s="207">
        <f t="shared" si="1"/>
        <v>26.479999999999997</v>
      </c>
    </row>
    <row r="10" spans="1:15" ht="67.5" x14ac:dyDescent="0.2">
      <c r="A10" s="184">
        <v>8</v>
      </c>
      <c r="B10" s="185" t="s">
        <v>220</v>
      </c>
      <c r="C10" s="184">
        <v>32</v>
      </c>
      <c r="D10" s="184" t="s">
        <v>215</v>
      </c>
      <c r="E10" s="211" t="s">
        <v>294</v>
      </c>
      <c r="F10" s="211">
        <v>393024</v>
      </c>
      <c r="G10" s="206">
        <v>0.75</v>
      </c>
      <c r="H10" s="204" t="s">
        <v>278</v>
      </c>
      <c r="I10" s="204">
        <v>170078</v>
      </c>
      <c r="J10" s="206">
        <v>0.99</v>
      </c>
      <c r="K10" s="211" t="s">
        <v>292</v>
      </c>
      <c r="L10" s="211">
        <v>120623</v>
      </c>
      <c r="M10" s="206">
        <v>0.84</v>
      </c>
      <c r="N10" s="207">
        <f t="shared" si="0"/>
        <v>0.86</v>
      </c>
      <c r="O10" s="207">
        <f t="shared" si="1"/>
        <v>27.52</v>
      </c>
    </row>
    <row r="11" spans="1:15" ht="22.5" x14ac:dyDescent="0.2">
      <c r="A11" s="184">
        <v>9</v>
      </c>
      <c r="B11" s="185" t="s">
        <v>221</v>
      </c>
      <c r="C11" s="184">
        <v>144</v>
      </c>
      <c r="D11" s="184" t="s">
        <v>215</v>
      </c>
      <c r="E11" s="205" t="s">
        <v>274</v>
      </c>
      <c r="F11" s="204">
        <v>510909</v>
      </c>
      <c r="G11" s="206">
        <v>1.3</v>
      </c>
      <c r="H11" s="204" t="s">
        <v>278</v>
      </c>
      <c r="I11" s="204">
        <v>170078</v>
      </c>
      <c r="J11" s="206">
        <v>1.21</v>
      </c>
      <c r="K11" s="211" t="s">
        <v>292</v>
      </c>
      <c r="L11" s="211">
        <v>120623</v>
      </c>
      <c r="M11" s="206">
        <v>2.1</v>
      </c>
      <c r="N11" s="207">
        <f t="shared" si="0"/>
        <v>1.5366666666666664</v>
      </c>
      <c r="O11" s="207">
        <f t="shared" si="1"/>
        <v>221.27999999999997</v>
      </c>
    </row>
    <row r="12" spans="1:15" x14ac:dyDescent="0.2">
      <c r="A12" s="184">
        <v>10</v>
      </c>
      <c r="B12" s="185" t="s">
        <v>280</v>
      </c>
      <c r="C12" s="184">
        <v>144</v>
      </c>
      <c r="D12" s="184" t="s">
        <v>212</v>
      </c>
      <c r="E12" s="204" t="s">
        <v>291</v>
      </c>
      <c r="F12" s="204">
        <v>925133</v>
      </c>
      <c r="G12" s="206">
        <v>2</v>
      </c>
      <c r="H12" s="204" t="s">
        <v>278</v>
      </c>
      <c r="I12" s="204">
        <v>170078</v>
      </c>
      <c r="J12" s="206">
        <v>1.6</v>
      </c>
      <c r="K12" s="204" t="s">
        <v>285</v>
      </c>
      <c r="L12" s="204">
        <v>974004</v>
      </c>
      <c r="M12" s="206">
        <f>18.07/10</f>
        <v>1.8069999999999999</v>
      </c>
      <c r="N12" s="207">
        <f t="shared" si="0"/>
        <v>1.8023333333333333</v>
      </c>
      <c r="O12" s="207">
        <f t="shared" si="1"/>
        <v>259.536</v>
      </c>
    </row>
    <row r="13" spans="1:15" x14ac:dyDescent="0.2">
      <c r="A13" s="184">
        <v>11</v>
      </c>
      <c r="B13" s="185" t="s">
        <v>279</v>
      </c>
      <c r="C13" s="184">
        <v>144</v>
      </c>
      <c r="D13" s="184" t="s">
        <v>212</v>
      </c>
      <c r="E13" s="205" t="s">
        <v>333</v>
      </c>
      <c r="F13" s="204">
        <v>160227</v>
      </c>
      <c r="G13" s="212">
        <v>4.58</v>
      </c>
      <c r="H13" s="204" t="s">
        <v>334</v>
      </c>
      <c r="I13" s="204">
        <v>160100</v>
      </c>
      <c r="J13" s="212">
        <v>3.99</v>
      </c>
      <c r="K13" s="211" t="s">
        <v>335</v>
      </c>
      <c r="L13" s="211">
        <v>135008</v>
      </c>
      <c r="M13" s="212">
        <v>3.26</v>
      </c>
      <c r="N13" s="207">
        <f t="shared" si="0"/>
        <v>3.9433333333333334</v>
      </c>
      <c r="O13" s="207">
        <f t="shared" si="1"/>
        <v>567.84</v>
      </c>
    </row>
    <row r="14" spans="1:15" ht="22.5" x14ac:dyDescent="0.2">
      <c r="A14" s="184">
        <v>12</v>
      </c>
      <c r="B14" s="185" t="s">
        <v>287</v>
      </c>
      <c r="C14" s="184">
        <v>48</v>
      </c>
      <c r="D14" s="184" t="s">
        <v>215</v>
      </c>
      <c r="E14" s="204" t="s">
        <v>291</v>
      </c>
      <c r="F14" s="204">
        <v>925133</v>
      </c>
      <c r="G14" s="206">
        <v>2.2999999999999998</v>
      </c>
      <c r="H14" s="211" t="s">
        <v>292</v>
      </c>
      <c r="I14" s="211">
        <v>120623</v>
      </c>
      <c r="J14" s="212">
        <v>4.5</v>
      </c>
      <c r="K14" s="204" t="s">
        <v>293</v>
      </c>
      <c r="L14" s="204">
        <v>290002</v>
      </c>
      <c r="M14" s="206">
        <v>3.1</v>
      </c>
      <c r="N14" s="207">
        <f t="shared" si="0"/>
        <v>3.3000000000000003</v>
      </c>
      <c r="O14" s="207">
        <f t="shared" si="1"/>
        <v>158.4</v>
      </c>
    </row>
    <row r="15" spans="1:15" ht="45" x14ac:dyDescent="0.2">
      <c r="A15" s="184">
        <v>13</v>
      </c>
      <c r="B15" s="185" t="s">
        <v>222</v>
      </c>
      <c r="C15" s="184">
        <v>120</v>
      </c>
      <c r="D15" s="184" t="s">
        <v>223</v>
      </c>
      <c r="E15" s="205" t="s">
        <v>274</v>
      </c>
      <c r="F15" s="204">
        <v>510909</v>
      </c>
      <c r="G15" s="206">
        <v>4.5</v>
      </c>
      <c r="H15" s="204" t="s">
        <v>291</v>
      </c>
      <c r="I15" s="204">
        <v>925133</v>
      </c>
      <c r="J15" s="206">
        <v>9</v>
      </c>
      <c r="K15" s="204" t="s">
        <v>292</v>
      </c>
      <c r="L15" s="204">
        <v>120623</v>
      </c>
      <c r="M15" s="206">
        <v>3.5</v>
      </c>
      <c r="N15" s="207">
        <f t="shared" si="0"/>
        <v>5.666666666666667</v>
      </c>
      <c r="O15" s="207">
        <f t="shared" si="1"/>
        <v>680</v>
      </c>
    </row>
    <row r="16" spans="1:15" ht="33.75" x14ac:dyDescent="0.2">
      <c r="A16" s="184">
        <v>14</v>
      </c>
      <c r="B16" s="185" t="s">
        <v>282</v>
      </c>
      <c r="C16" s="184">
        <v>12</v>
      </c>
      <c r="D16" s="184" t="s">
        <v>224</v>
      </c>
      <c r="E16" s="204" t="s">
        <v>291</v>
      </c>
      <c r="F16" s="204">
        <v>925133</v>
      </c>
      <c r="G16" s="206">
        <v>1.2</v>
      </c>
      <c r="H16" s="204" t="s">
        <v>278</v>
      </c>
      <c r="I16" s="204">
        <v>170078</v>
      </c>
      <c r="J16" s="206">
        <v>1.1000000000000001</v>
      </c>
      <c r="K16" s="211" t="s">
        <v>292</v>
      </c>
      <c r="L16" s="211">
        <v>120623</v>
      </c>
      <c r="M16" s="212">
        <v>2.7</v>
      </c>
      <c r="N16" s="207">
        <f t="shared" si="0"/>
        <v>1.6666666666666667</v>
      </c>
      <c r="O16" s="207">
        <f t="shared" si="1"/>
        <v>20</v>
      </c>
    </row>
    <row r="17" spans="1:15" ht="22.5" x14ac:dyDescent="0.2">
      <c r="A17" s="184">
        <v>15</v>
      </c>
      <c r="B17" s="216" t="s">
        <v>225</v>
      </c>
      <c r="C17" s="184">
        <v>150</v>
      </c>
      <c r="D17" s="184" t="s">
        <v>215</v>
      </c>
      <c r="E17" s="205" t="s">
        <v>274</v>
      </c>
      <c r="F17" s="204">
        <v>510909</v>
      </c>
      <c r="G17" s="206">
        <v>3</v>
      </c>
      <c r="H17" s="204" t="s">
        <v>278</v>
      </c>
      <c r="I17" s="204">
        <v>170078</v>
      </c>
      <c r="J17" s="206">
        <v>2.2000000000000002</v>
      </c>
      <c r="K17" s="204" t="s">
        <v>291</v>
      </c>
      <c r="L17" s="204">
        <v>925133</v>
      </c>
      <c r="M17" s="206">
        <v>3</v>
      </c>
      <c r="N17" s="207">
        <f t="shared" si="0"/>
        <v>2.7333333333333329</v>
      </c>
      <c r="O17" s="207">
        <f t="shared" si="1"/>
        <v>409.99999999999994</v>
      </c>
    </row>
    <row r="18" spans="1:15" ht="33.75" x14ac:dyDescent="0.2">
      <c r="A18" s="184">
        <v>16</v>
      </c>
      <c r="B18" s="185" t="s">
        <v>338</v>
      </c>
      <c r="C18" s="184">
        <v>40</v>
      </c>
      <c r="D18" s="184" t="s">
        <v>226</v>
      </c>
      <c r="E18" s="205" t="s">
        <v>322</v>
      </c>
      <c r="F18" s="204">
        <v>158284</v>
      </c>
      <c r="G18" s="206">
        <v>39</v>
      </c>
      <c r="H18" s="211" t="s">
        <v>318</v>
      </c>
      <c r="I18" s="211">
        <v>158475</v>
      </c>
      <c r="J18" s="212">
        <v>24</v>
      </c>
      <c r="K18" s="211" t="s">
        <v>337</v>
      </c>
      <c r="L18" s="211">
        <v>155891</v>
      </c>
      <c r="M18" s="212">
        <v>40</v>
      </c>
      <c r="N18" s="207">
        <f t="shared" si="0"/>
        <v>34.333333333333336</v>
      </c>
      <c r="O18" s="207">
        <f t="shared" si="1"/>
        <v>1373.3333333333335</v>
      </c>
    </row>
    <row r="19" spans="1:15" ht="45" x14ac:dyDescent="0.2">
      <c r="A19" s="184">
        <v>17</v>
      </c>
      <c r="B19" s="185" t="s">
        <v>227</v>
      </c>
      <c r="C19" s="184">
        <v>96</v>
      </c>
      <c r="D19" s="184" t="s">
        <v>228</v>
      </c>
      <c r="E19" s="205" t="s">
        <v>274</v>
      </c>
      <c r="F19" s="204">
        <v>510909</v>
      </c>
      <c r="G19" s="206">
        <v>8</v>
      </c>
      <c r="H19" s="204" t="s">
        <v>278</v>
      </c>
      <c r="I19" s="204">
        <v>170078</v>
      </c>
      <c r="J19" s="206">
        <v>8.25</v>
      </c>
      <c r="K19" s="204" t="s">
        <v>285</v>
      </c>
      <c r="L19" s="204">
        <v>974004</v>
      </c>
      <c r="M19" s="206">
        <v>5.27</v>
      </c>
      <c r="N19" s="207">
        <f t="shared" si="0"/>
        <v>7.1733333333333329</v>
      </c>
      <c r="O19" s="207">
        <f t="shared" si="1"/>
        <v>688.64</v>
      </c>
    </row>
    <row r="20" spans="1:15" ht="22.5" x14ac:dyDescent="0.2">
      <c r="A20" s="184">
        <v>18</v>
      </c>
      <c r="B20" s="216" t="s">
        <v>339</v>
      </c>
      <c r="C20" s="217">
        <v>250</v>
      </c>
      <c r="D20" s="217" t="s">
        <v>226</v>
      </c>
      <c r="E20" s="213" t="s">
        <v>326</v>
      </c>
      <c r="F20" s="211">
        <v>926669</v>
      </c>
      <c r="G20" s="212">
        <v>6.59</v>
      </c>
      <c r="H20" s="211" t="s">
        <v>340</v>
      </c>
      <c r="I20" s="211">
        <v>763000</v>
      </c>
      <c r="J20" s="212">
        <v>7.15</v>
      </c>
      <c r="K20" s="204" t="s">
        <v>316</v>
      </c>
      <c r="L20" s="204">
        <v>70028</v>
      </c>
      <c r="M20" s="206">
        <v>9</v>
      </c>
      <c r="N20" s="207">
        <f t="shared" si="0"/>
        <v>7.580000000000001</v>
      </c>
      <c r="O20" s="207">
        <f t="shared" si="1"/>
        <v>1895.0000000000002</v>
      </c>
    </row>
    <row r="21" spans="1:15" ht="22.5" x14ac:dyDescent="0.2">
      <c r="A21" s="184">
        <v>19</v>
      </c>
      <c r="B21" s="185" t="s">
        <v>229</v>
      </c>
      <c r="C21" s="184">
        <v>4</v>
      </c>
      <c r="D21" s="184" t="s">
        <v>224</v>
      </c>
      <c r="E21" s="205" t="s">
        <v>274</v>
      </c>
      <c r="F21" s="204">
        <v>510909</v>
      </c>
      <c r="G21" s="206">
        <v>3.84</v>
      </c>
      <c r="H21" s="211" t="s">
        <v>292</v>
      </c>
      <c r="I21" s="211">
        <v>120623</v>
      </c>
      <c r="J21" s="212">
        <v>3.4</v>
      </c>
      <c r="K21" s="204" t="s">
        <v>285</v>
      </c>
      <c r="L21" s="204">
        <v>974004</v>
      </c>
      <c r="M21" s="206">
        <f>0.89*5</f>
        <v>4.45</v>
      </c>
      <c r="N21" s="207">
        <f t="shared" si="0"/>
        <v>3.8966666666666669</v>
      </c>
      <c r="O21" s="207">
        <f t="shared" si="1"/>
        <v>15.586666666666668</v>
      </c>
    </row>
    <row r="22" spans="1:15" ht="67.5" x14ac:dyDescent="0.2">
      <c r="A22" s="184">
        <v>20</v>
      </c>
      <c r="B22" s="185" t="s">
        <v>230</v>
      </c>
      <c r="C22" s="184">
        <v>36</v>
      </c>
      <c r="D22" s="184" t="s">
        <v>224</v>
      </c>
      <c r="E22" s="205" t="s">
        <v>274</v>
      </c>
      <c r="F22" s="204">
        <v>510909</v>
      </c>
      <c r="G22" s="206">
        <v>4.33</v>
      </c>
      <c r="H22" s="204" t="s">
        <v>278</v>
      </c>
      <c r="I22" s="204">
        <v>170078</v>
      </c>
      <c r="J22" s="206">
        <f>2.82*2</f>
        <v>5.64</v>
      </c>
      <c r="K22" s="204" t="s">
        <v>291</v>
      </c>
      <c r="L22" s="204">
        <v>925133</v>
      </c>
      <c r="M22" s="206">
        <v>6</v>
      </c>
      <c r="N22" s="207">
        <f t="shared" si="0"/>
        <v>5.3233333333333333</v>
      </c>
      <c r="O22" s="207">
        <f t="shared" si="1"/>
        <v>191.64</v>
      </c>
    </row>
    <row r="23" spans="1:15" ht="22.5" x14ac:dyDescent="0.2">
      <c r="A23" s="184">
        <v>21</v>
      </c>
      <c r="B23" s="185" t="s">
        <v>231</v>
      </c>
      <c r="C23" s="184">
        <v>60</v>
      </c>
      <c r="D23" s="184" t="s">
        <v>217</v>
      </c>
      <c r="E23" s="205" t="s">
        <v>274</v>
      </c>
      <c r="F23" s="204">
        <v>510909</v>
      </c>
      <c r="G23" s="206">
        <v>16.850000000000001</v>
      </c>
      <c r="H23" s="204" t="s">
        <v>278</v>
      </c>
      <c r="I23" s="204">
        <v>170078</v>
      </c>
      <c r="J23" s="206">
        <f>1.98*5</f>
        <v>9.9</v>
      </c>
      <c r="K23" s="204" t="s">
        <v>285</v>
      </c>
      <c r="L23" s="204">
        <v>974004</v>
      </c>
      <c r="M23" s="206">
        <v>7.21</v>
      </c>
      <c r="N23" s="207">
        <f t="shared" si="0"/>
        <v>11.32</v>
      </c>
      <c r="O23" s="207">
        <f t="shared" si="1"/>
        <v>679.2</v>
      </c>
    </row>
    <row r="24" spans="1:15" ht="67.5" x14ac:dyDescent="0.2">
      <c r="A24" s="184">
        <v>22</v>
      </c>
      <c r="B24" s="185" t="s">
        <v>341</v>
      </c>
      <c r="C24" s="184">
        <v>50</v>
      </c>
      <c r="D24" s="184" t="s">
        <v>224</v>
      </c>
      <c r="E24" s="205" t="s">
        <v>343</v>
      </c>
      <c r="F24" s="204">
        <v>120626</v>
      </c>
      <c r="G24" s="206">
        <v>12.5</v>
      </c>
      <c r="H24" s="211" t="s">
        <v>342</v>
      </c>
      <c r="I24" s="211">
        <v>135036</v>
      </c>
      <c r="J24" s="212">
        <v>9.2899999999999991</v>
      </c>
      <c r="K24" s="211" t="s">
        <v>344</v>
      </c>
      <c r="L24" s="211">
        <v>389092</v>
      </c>
      <c r="M24" s="212">
        <v>10.97</v>
      </c>
      <c r="N24" s="207">
        <f t="shared" si="0"/>
        <v>10.92</v>
      </c>
      <c r="O24" s="207">
        <f t="shared" si="1"/>
        <v>546</v>
      </c>
    </row>
    <row r="25" spans="1:15" ht="68.25" thickBot="1" x14ac:dyDescent="0.25">
      <c r="A25" s="184">
        <v>23</v>
      </c>
      <c r="B25" s="185" t="s">
        <v>232</v>
      </c>
      <c r="C25" s="184">
        <v>2000</v>
      </c>
      <c r="D25" s="184" t="s">
        <v>215</v>
      </c>
      <c r="E25" s="205" t="s">
        <v>274</v>
      </c>
      <c r="F25" s="204">
        <v>510909</v>
      </c>
      <c r="G25" s="206">
        <f>36.99/25</f>
        <v>1.4796</v>
      </c>
      <c r="H25" s="204" t="s">
        <v>291</v>
      </c>
      <c r="I25" s="204">
        <v>925133</v>
      </c>
      <c r="J25" s="206">
        <v>0.5</v>
      </c>
      <c r="K25" s="204" t="s">
        <v>293</v>
      </c>
      <c r="L25" s="204">
        <v>290002</v>
      </c>
      <c r="M25" s="206">
        <v>0.38</v>
      </c>
      <c r="N25" s="207">
        <f t="shared" si="0"/>
        <v>0.78653333333333331</v>
      </c>
      <c r="O25" s="218">
        <f t="shared" si="1"/>
        <v>1573.0666666666666</v>
      </c>
    </row>
    <row r="26" spans="1:15" ht="13.5" thickBot="1" x14ac:dyDescent="0.25">
      <c r="A26" s="335" t="s">
        <v>351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224">
        <f>SUM(O3:O25)</f>
        <v>11357.842666666667</v>
      </c>
    </row>
    <row r="27" spans="1:15" ht="13.5" thickBot="1" x14ac:dyDescent="0.25">
      <c r="A27" s="330" t="s">
        <v>354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2"/>
      <c r="O27" s="237">
        <f>O26/12</f>
        <v>946.48688888888898</v>
      </c>
    </row>
    <row r="28" spans="1:15" ht="13.5" thickBot="1" x14ac:dyDescent="0.25">
      <c r="A28" s="333" t="s">
        <v>355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237">
        <f>O27/5</f>
        <v>189.2973777777778</v>
      </c>
    </row>
  </sheetData>
  <mergeCells count="9">
    <mergeCell ref="A27:N27"/>
    <mergeCell ref="A28:N28"/>
    <mergeCell ref="O1:O2"/>
    <mergeCell ref="K1:M1"/>
    <mergeCell ref="H1:J1"/>
    <mergeCell ref="E1:G1"/>
    <mergeCell ref="A26:N26"/>
    <mergeCell ref="A1:D1"/>
    <mergeCell ref="N1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9" workbookViewId="0">
      <selection activeCell="Q16" sqref="Q16"/>
    </sheetView>
  </sheetViews>
  <sheetFormatPr defaultRowHeight="11.25" x14ac:dyDescent="0.2"/>
  <cols>
    <col min="1" max="1" width="9.140625" style="173"/>
    <col min="2" max="2" width="27.7109375" style="173" customWidth="1"/>
    <col min="3" max="13" width="9.140625" style="173"/>
    <col min="14" max="14" width="12.28515625" style="173" bestFit="1" customWidth="1"/>
    <col min="15" max="15" width="11.42578125" style="173" customWidth="1"/>
    <col min="16" max="16384" width="9.140625" style="173"/>
  </cols>
  <sheetData>
    <row r="1" spans="1:15" x14ac:dyDescent="0.2">
      <c r="A1" s="311"/>
      <c r="B1" s="311"/>
      <c r="C1" s="311"/>
      <c r="D1" s="312"/>
      <c r="E1" s="342" t="s">
        <v>269</v>
      </c>
      <c r="F1" s="343"/>
      <c r="G1" s="344"/>
      <c r="H1" s="339" t="s">
        <v>271</v>
      </c>
      <c r="I1" s="340"/>
      <c r="J1" s="341"/>
      <c r="K1" s="336" t="s">
        <v>270</v>
      </c>
      <c r="L1" s="337"/>
      <c r="M1" s="338"/>
      <c r="N1" s="320" t="s">
        <v>273</v>
      </c>
      <c r="O1" s="320" t="s">
        <v>272</v>
      </c>
    </row>
    <row r="2" spans="1:15" ht="22.5" x14ac:dyDescent="0.2">
      <c r="A2" s="183" t="s">
        <v>208</v>
      </c>
      <c r="B2" s="183" t="s">
        <v>234</v>
      </c>
      <c r="C2" s="183" t="s">
        <v>235</v>
      </c>
      <c r="D2" s="183" t="s">
        <v>210</v>
      </c>
      <c r="E2" s="182" t="s">
        <v>266</v>
      </c>
      <c r="F2" s="182" t="s">
        <v>267</v>
      </c>
      <c r="G2" s="182" t="s">
        <v>268</v>
      </c>
      <c r="H2" s="182" t="s">
        <v>266</v>
      </c>
      <c r="I2" s="182" t="s">
        <v>267</v>
      </c>
      <c r="J2" s="182" t="s">
        <v>268</v>
      </c>
      <c r="K2" s="182" t="s">
        <v>266</v>
      </c>
      <c r="L2" s="182" t="s">
        <v>267</v>
      </c>
      <c r="M2" s="182" t="s">
        <v>268</v>
      </c>
      <c r="N2" s="320"/>
      <c r="O2" s="320"/>
    </row>
    <row r="3" spans="1:15" ht="56.25" x14ac:dyDescent="0.2">
      <c r="A3" s="187">
        <v>1</v>
      </c>
      <c r="B3" s="185" t="s">
        <v>236</v>
      </c>
      <c r="C3" s="184">
        <v>10</v>
      </c>
      <c r="D3" s="184" t="s">
        <v>215</v>
      </c>
      <c r="E3" s="205" t="s">
        <v>274</v>
      </c>
      <c r="F3" s="204">
        <v>510909</v>
      </c>
      <c r="G3" s="206">
        <v>7.66</v>
      </c>
      <c r="H3" s="204" t="s">
        <v>278</v>
      </c>
      <c r="I3" s="204">
        <v>170078</v>
      </c>
      <c r="J3" s="206">
        <v>9</v>
      </c>
      <c r="K3" s="204" t="s">
        <v>285</v>
      </c>
      <c r="L3" s="204">
        <v>974004</v>
      </c>
      <c r="M3" s="206">
        <v>9.9600000000000009</v>
      </c>
      <c r="N3" s="207">
        <f>(G3+J3+M3)/3</f>
        <v>8.8733333333333331</v>
      </c>
      <c r="O3" s="207">
        <f>C3*N3</f>
        <v>88.733333333333334</v>
      </c>
    </row>
    <row r="4" spans="1:15" ht="67.5" x14ac:dyDescent="0.2">
      <c r="A4" s="187">
        <v>2</v>
      </c>
      <c r="B4" s="185" t="s">
        <v>304</v>
      </c>
      <c r="C4" s="184">
        <v>5</v>
      </c>
      <c r="D4" s="184" t="s">
        <v>215</v>
      </c>
      <c r="E4" s="204" t="s">
        <v>305</v>
      </c>
      <c r="F4" s="204">
        <v>160026</v>
      </c>
      <c r="G4" s="206">
        <v>25.9</v>
      </c>
      <c r="H4" s="204" t="s">
        <v>306</v>
      </c>
      <c r="I4" s="204">
        <v>194046</v>
      </c>
      <c r="J4" s="206">
        <v>29.99</v>
      </c>
      <c r="K4" s="204" t="s">
        <v>307</v>
      </c>
      <c r="L4" s="204">
        <v>160525</v>
      </c>
      <c r="M4" s="206">
        <v>33.69</v>
      </c>
      <c r="N4" s="207">
        <f t="shared" ref="N4:N26" si="0">(G4+J4+M4)/3</f>
        <v>29.86</v>
      </c>
      <c r="O4" s="207">
        <f t="shared" ref="O4:O26" si="1">C4*N4</f>
        <v>149.30000000000001</v>
      </c>
    </row>
    <row r="5" spans="1:15" ht="33.75" x14ac:dyDescent="0.2">
      <c r="A5" s="187">
        <v>3</v>
      </c>
      <c r="B5" s="185" t="s">
        <v>237</v>
      </c>
      <c r="C5" s="184">
        <v>5</v>
      </c>
      <c r="D5" s="184" t="s">
        <v>215</v>
      </c>
      <c r="E5" s="204" t="s">
        <v>308</v>
      </c>
      <c r="F5" s="204">
        <v>158350</v>
      </c>
      <c r="G5" s="206">
        <v>5</v>
      </c>
      <c r="H5" s="204" t="s">
        <v>309</v>
      </c>
      <c r="I5" s="204">
        <v>943001</v>
      </c>
      <c r="J5" s="206">
        <v>3.34</v>
      </c>
      <c r="K5" s="204" t="s">
        <v>310</v>
      </c>
      <c r="L5" s="204">
        <v>160004</v>
      </c>
      <c r="M5" s="206">
        <v>2.44</v>
      </c>
      <c r="N5" s="207">
        <f t="shared" si="0"/>
        <v>3.5933333333333333</v>
      </c>
      <c r="O5" s="207">
        <f t="shared" si="1"/>
        <v>17.966666666666665</v>
      </c>
    </row>
    <row r="6" spans="1:15" ht="33.75" x14ac:dyDescent="0.2">
      <c r="A6" s="187">
        <v>4</v>
      </c>
      <c r="B6" s="185" t="s">
        <v>238</v>
      </c>
      <c r="C6" s="184">
        <v>10</v>
      </c>
      <c r="D6" s="184" t="s">
        <v>215</v>
      </c>
      <c r="E6" s="204" t="s">
        <v>293</v>
      </c>
      <c r="F6" s="204">
        <v>290002</v>
      </c>
      <c r="G6" s="206">
        <v>3</v>
      </c>
      <c r="H6" s="204" t="s">
        <v>278</v>
      </c>
      <c r="I6" s="204">
        <v>170078</v>
      </c>
      <c r="J6" s="206">
        <v>15</v>
      </c>
      <c r="K6" s="204" t="s">
        <v>285</v>
      </c>
      <c r="L6" s="204">
        <v>974004</v>
      </c>
      <c r="M6" s="206">
        <v>4.43</v>
      </c>
      <c r="N6" s="207">
        <f t="shared" si="0"/>
        <v>7.4766666666666666</v>
      </c>
      <c r="O6" s="207">
        <f t="shared" si="1"/>
        <v>74.766666666666666</v>
      </c>
    </row>
    <row r="7" spans="1:15" ht="22.5" x14ac:dyDescent="0.2">
      <c r="A7" s="187">
        <v>5</v>
      </c>
      <c r="B7" s="185" t="s">
        <v>239</v>
      </c>
      <c r="C7" s="184">
        <v>12</v>
      </c>
      <c r="D7" s="184" t="s">
        <v>215</v>
      </c>
      <c r="E7" s="204" t="s">
        <v>278</v>
      </c>
      <c r="F7" s="204">
        <v>257033</v>
      </c>
      <c r="G7" s="206">
        <v>43.63</v>
      </c>
      <c r="H7" s="204" t="s">
        <v>311</v>
      </c>
      <c r="I7" s="204">
        <v>160013</v>
      </c>
      <c r="J7" s="206">
        <v>35</v>
      </c>
      <c r="K7" s="204" t="s">
        <v>312</v>
      </c>
      <c r="L7" s="204">
        <v>984675</v>
      </c>
      <c r="M7" s="206">
        <v>34.99</v>
      </c>
      <c r="N7" s="207">
        <f t="shared" si="0"/>
        <v>37.873333333333335</v>
      </c>
      <c r="O7" s="207">
        <f t="shared" si="1"/>
        <v>454.48</v>
      </c>
    </row>
    <row r="8" spans="1:15" ht="33.75" x14ac:dyDescent="0.2">
      <c r="A8" s="187">
        <v>6</v>
      </c>
      <c r="B8" s="185" t="s">
        <v>240</v>
      </c>
      <c r="C8" s="184">
        <v>20</v>
      </c>
      <c r="D8" s="184" t="s">
        <v>215</v>
      </c>
      <c r="E8" s="204" t="s">
        <v>293</v>
      </c>
      <c r="F8" s="204">
        <v>290002</v>
      </c>
      <c r="G8" s="206">
        <v>12.4</v>
      </c>
      <c r="H8" s="204" t="s">
        <v>278</v>
      </c>
      <c r="I8" s="204">
        <v>170078</v>
      </c>
      <c r="J8" s="206">
        <v>28</v>
      </c>
      <c r="K8" s="204" t="s">
        <v>291</v>
      </c>
      <c r="L8" s="204">
        <v>925133</v>
      </c>
      <c r="M8" s="206">
        <v>35</v>
      </c>
      <c r="N8" s="207">
        <f t="shared" si="0"/>
        <v>25.133333333333336</v>
      </c>
      <c r="O8" s="207">
        <f t="shared" si="1"/>
        <v>502.66666666666674</v>
      </c>
    </row>
    <row r="9" spans="1:15" ht="22.5" x14ac:dyDescent="0.2">
      <c r="A9" s="187">
        <v>7</v>
      </c>
      <c r="B9" s="188" t="s">
        <v>336</v>
      </c>
      <c r="C9" s="184">
        <v>20</v>
      </c>
      <c r="D9" s="184" t="s">
        <v>215</v>
      </c>
      <c r="E9" s="204" t="s">
        <v>313</v>
      </c>
      <c r="F9" s="204">
        <v>153035</v>
      </c>
      <c r="G9" s="206">
        <v>22.93</v>
      </c>
      <c r="H9" s="204" t="s">
        <v>314</v>
      </c>
      <c r="I9" s="204">
        <v>365001</v>
      </c>
      <c r="J9" s="206">
        <v>29</v>
      </c>
      <c r="K9" s="204" t="s">
        <v>315</v>
      </c>
      <c r="L9" s="204">
        <v>925992</v>
      </c>
      <c r="M9" s="206">
        <v>38.19</v>
      </c>
      <c r="N9" s="207">
        <f t="shared" si="0"/>
        <v>30.040000000000003</v>
      </c>
      <c r="O9" s="207">
        <f t="shared" si="1"/>
        <v>600.80000000000007</v>
      </c>
    </row>
    <row r="10" spans="1:15" ht="22.5" x14ac:dyDescent="0.2">
      <c r="A10" s="187">
        <v>8</v>
      </c>
      <c r="B10" s="215" t="s">
        <v>288</v>
      </c>
      <c r="C10" s="184">
        <v>20</v>
      </c>
      <c r="D10" s="184" t="s">
        <v>210</v>
      </c>
      <c r="E10" s="204" t="s">
        <v>307</v>
      </c>
      <c r="F10" s="204">
        <v>926669</v>
      </c>
      <c r="G10" s="206">
        <v>18</v>
      </c>
      <c r="H10" s="204" t="s">
        <v>316</v>
      </c>
      <c r="I10" s="204">
        <v>70028</v>
      </c>
      <c r="J10" s="206">
        <v>28</v>
      </c>
      <c r="K10" s="204" t="s">
        <v>301</v>
      </c>
      <c r="L10" s="204">
        <v>255010</v>
      </c>
      <c r="M10" s="206">
        <v>19.02</v>
      </c>
      <c r="N10" s="207">
        <f t="shared" si="0"/>
        <v>21.673333333333332</v>
      </c>
      <c r="O10" s="207">
        <f t="shared" si="1"/>
        <v>433.46666666666664</v>
      </c>
    </row>
    <row r="11" spans="1:15" ht="33.75" x14ac:dyDescent="0.2">
      <c r="A11" s="187">
        <v>9</v>
      </c>
      <c r="B11" s="185" t="s">
        <v>241</v>
      </c>
      <c r="C11" s="184">
        <v>5</v>
      </c>
      <c r="D11" s="184" t="s">
        <v>215</v>
      </c>
      <c r="E11" s="204" t="s">
        <v>293</v>
      </c>
      <c r="F11" s="204">
        <v>290002</v>
      </c>
      <c r="G11" s="206">
        <v>2</v>
      </c>
      <c r="H11" s="204" t="s">
        <v>294</v>
      </c>
      <c r="I11" s="204">
        <v>393024</v>
      </c>
      <c r="J11" s="206">
        <v>1.5</v>
      </c>
      <c r="K11" s="204" t="s">
        <v>285</v>
      </c>
      <c r="L11" s="204">
        <v>974004</v>
      </c>
      <c r="M11" s="206">
        <v>1.1299999999999999</v>
      </c>
      <c r="N11" s="207">
        <f t="shared" si="0"/>
        <v>1.5433333333333332</v>
      </c>
      <c r="O11" s="207">
        <f t="shared" si="1"/>
        <v>7.7166666666666659</v>
      </c>
    </row>
    <row r="12" spans="1:15" ht="22.5" x14ac:dyDescent="0.2">
      <c r="A12" s="187">
        <v>10</v>
      </c>
      <c r="B12" s="185" t="s">
        <v>283</v>
      </c>
      <c r="C12" s="184">
        <v>12</v>
      </c>
      <c r="D12" s="184" t="s">
        <v>215</v>
      </c>
      <c r="E12" s="205" t="s">
        <v>274</v>
      </c>
      <c r="F12" s="204">
        <v>510909</v>
      </c>
      <c r="G12" s="206">
        <v>5.36</v>
      </c>
      <c r="H12" s="204" t="s">
        <v>278</v>
      </c>
      <c r="I12" s="204">
        <v>170078</v>
      </c>
      <c r="J12" s="206">
        <v>3.6</v>
      </c>
      <c r="K12" s="204" t="s">
        <v>291</v>
      </c>
      <c r="L12" s="204">
        <v>925133</v>
      </c>
      <c r="M12" s="206">
        <v>4</v>
      </c>
      <c r="N12" s="207">
        <f t="shared" si="0"/>
        <v>4.32</v>
      </c>
      <c r="O12" s="207">
        <f t="shared" si="1"/>
        <v>51.84</v>
      </c>
    </row>
    <row r="13" spans="1:15" ht="22.5" x14ac:dyDescent="0.2">
      <c r="A13" s="187">
        <v>11</v>
      </c>
      <c r="B13" s="189" t="s">
        <v>242</v>
      </c>
      <c r="C13" s="184">
        <v>5</v>
      </c>
      <c r="D13" s="184" t="s">
        <v>243</v>
      </c>
      <c r="E13" s="205" t="s">
        <v>274</v>
      </c>
      <c r="F13" s="204">
        <v>510909</v>
      </c>
      <c r="G13" s="206">
        <v>14.35</v>
      </c>
      <c r="H13" s="204" t="s">
        <v>292</v>
      </c>
      <c r="I13" s="204">
        <v>120623</v>
      </c>
      <c r="J13" s="206">
        <v>5.95</v>
      </c>
      <c r="K13" s="204" t="s">
        <v>291</v>
      </c>
      <c r="L13" s="204">
        <v>925133</v>
      </c>
      <c r="M13" s="206">
        <v>9</v>
      </c>
      <c r="N13" s="207">
        <f t="shared" si="0"/>
        <v>9.7666666666666675</v>
      </c>
      <c r="O13" s="207">
        <f t="shared" si="1"/>
        <v>48.833333333333336</v>
      </c>
    </row>
    <row r="14" spans="1:15" ht="45" x14ac:dyDescent="0.2">
      <c r="A14" s="187">
        <v>12</v>
      </c>
      <c r="B14" s="185" t="s">
        <v>244</v>
      </c>
      <c r="C14" s="184">
        <v>10</v>
      </c>
      <c r="D14" s="184" t="s">
        <v>215</v>
      </c>
      <c r="E14" s="204" t="s">
        <v>317</v>
      </c>
      <c r="F14" s="204">
        <v>160249</v>
      </c>
      <c r="G14" s="206">
        <v>53.53</v>
      </c>
      <c r="H14" s="204" t="s">
        <v>318</v>
      </c>
      <c r="I14" s="204">
        <v>160433</v>
      </c>
      <c r="J14" s="206">
        <v>74.48</v>
      </c>
      <c r="K14" s="204" t="s">
        <v>319</v>
      </c>
      <c r="L14" s="204">
        <v>158425</v>
      </c>
      <c r="M14" s="206">
        <v>30.26</v>
      </c>
      <c r="N14" s="207">
        <f t="shared" si="0"/>
        <v>52.756666666666661</v>
      </c>
      <c r="O14" s="207">
        <f t="shared" si="1"/>
        <v>527.56666666666661</v>
      </c>
    </row>
    <row r="15" spans="1:15" ht="45" x14ac:dyDescent="0.2">
      <c r="A15" s="187">
        <v>13</v>
      </c>
      <c r="B15" s="185" t="s">
        <v>245</v>
      </c>
      <c r="C15" s="184">
        <v>10</v>
      </c>
      <c r="D15" s="184" t="s">
        <v>215</v>
      </c>
      <c r="E15" s="204" t="s">
        <v>320</v>
      </c>
      <c r="F15" s="204">
        <v>158517</v>
      </c>
      <c r="G15" s="206">
        <v>45.32</v>
      </c>
      <c r="H15" s="204" t="s">
        <v>318</v>
      </c>
      <c r="I15" s="204">
        <v>160433</v>
      </c>
      <c r="J15" s="206">
        <v>39.76</v>
      </c>
      <c r="K15" s="204" t="s">
        <v>321</v>
      </c>
      <c r="L15" s="204">
        <v>201004</v>
      </c>
      <c r="M15" s="206">
        <v>35</v>
      </c>
      <c r="N15" s="207">
        <f t="shared" si="0"/>
        <v>40.026666666666664</v>
      </c>
      <c r="O15" s="207">
        <f t="shared" si="1"/>
        <v>400.26666666666665</v>
      </c>
    </row>
    <row r="16" spans="1:15" ht="56.25" x14ac:dyDescent="0.2">
      <c r="A16" s="187">
        <v>14</v>
      </c>
      <c r="B16" s="185" t="s">
        <v>246</v>
      </c>
      <c r="C16" s="184">
        <v>50</v>
      </c>
      <c r="D16" s="184" t="s">
        <v>215</v>
      </c>
      <c r="E16" s="204" t="s">
        <v>322</v>
      </c>
      <c r="F16" s="204">
        <v>158284</v>
      </c>
      <c r="G16" s="206">
        <v>11</v>
      </c>
      <c r="H16" s="204" t="s">
        <v>323</v>
      </c>
      <c r="I16" s="204">
        <v>153010</v>
      </c>
      <c r="J16" s="206">
        <v>10</v>
      </c>
      <c r="K16" s="204" t="s">
        <v>324</v>
      </c>
      <c r="L16" s="204">
        <v>925942</v>
      </c>
      <c r="M16" s="206">
        <v>10</v>
      </c>
      <c r="N16" s="207">
        <f t="shared" si="0"/>
        <v>10.333333333333334</v>
      </c>
      <c r="O16" s="207">
        <f t="shared" si="1"/>
        <v>516.66666666666674</v>
      </c>
    </row>
    <row r="17" spans="1:15" x14ac:dyDescent="0.2">
      <c r="A17" s="187">
        <v>15</v>
      </c>
      <c r="B17" s="209" t="s">
        <v>361</v>
      </c>
      <c r="C17" s="184">
        <v>5</v>
      </c>
      <c r="D17" s="184" t="s">
        <v>210</v>
      </c>
      <c r="E17" s="205" t="s">
        <v>325</v>
      </c>
      <c r="F17" s="204">
        <v>154032</v>
      </c>
      <c r="G17" s="206">
        <v>65.5</v>
      </c>
      <c r="H17" s="204" t="s">
        <v>314</v>
      </c>
      <c r="I17" s="204">
        <v>254435</v>
      </c>
      <c r="J17" s="206">
        <v>61</v>
      </c>
      <c r="K17" s="204" t="s">
        <v>326</v>
      </c>
      <c r="L17" s="204">
        <v>160525</v>
      </c>
      <c r="M17" s="206">
        <v>50</v>
      </c>
      <c r="N17" s="207">
        <f t="shared" si="0"/>
        <v>58.833333333333336</v>
      </c>
      <c r="O17" s="207">
        <f t="shared" si="1"/>
        <v>294.16666666666669</v>
      </c>
    </row>
    <row r="18" spans="1:15" ht="22.5" x14ac:dyDescent="0.2">
      <c r="A18" s="187">
        <v>16</v>
      </c>
      <c r="B18" s="185" t="s">
        <v>247</v>
      </c>
      <c r="C18" s="184">
        <v>5</v>
      </c>
      <c r="D18" s="184" t="s">
        <v>215</v>
      </c>
      <c r="E18" s="205" t="s">
        <v>274</v>
      </c>
      <c r="F18" s="204">
        <v>510909</v>
      </c>
      <c r="G18" s="206">
        <v>9.5</v>
      </c>
      <c r="H18" s="204" t="s">
        <v>278</v>
      </c>
      <c r="I18" s="204">
        <v>170078</v>
      </c>
      <c r="J18" s="206">
        <v>12</v>
      </c>
      <c r="K18" s="204" t="s">
        <v>285</v>
      </c>
      <c r="L18" s="204">
        <v>974004</v>
      </c>
      <c r="M18" s="206">
        <v>11.93</v>
      </c>
      <c r="N18" s="207">
        <f t="shared" si="0"/>
        <v>11.143333333333333</v>
      </c>
      <c r="O18" s="207">
        <f t="shared" si="1"/>
        <v>55.716666666666661</v>
      </c>
    </row>
    <row r="19" spans="1:15" ht="33.75" x14ac:dyDescent="0.2">
      <c r="A19" s="187">
        <v>17</v>
      </c>
      <c r="B19" s="185" t="s">
        <v>248</v>
      </c>
      <c r="C19" s="184">
        <v>10</v>
      </c>
      <c r="D19" s="184" t="s">
        <v>215</v>
      </c>
      <c r="E19" s="205" t="s">
        <v>293</v>
      </c>
      <c r="F19" s="204">
        <v>290002</v>
      </c>
      <c r="G19" s="206">
        <v>6.5</v>
      </c>
      <c r="H19" s="204" t="s">
        <v>278</v>
      </c>
      <c r="I19" s="204">
        <v>170078</v>
      </c>
      <c r="J19" s="206">
        <v>4.8</v>
      </c>
      <c r="K19" s="204" t="s">
        <v>285</v>
      </c>
      <c r="L19" s="204">
        <v>974004</v>
      </c>
      <c r="M19" s="206">
        <v>2.87</v>
      </c>
      <c r="N19" s="207">
        <f t="shared" si="0"/>
        <v>4.7233333333333336</v>
      </c>
      <c r="O19" s="207">
        <f t="shared" si="1"/>
        <v>47.233333333333334</v>
      </c>
    </row>
    <row r="20" spans="1:15" ht="33.75" x14ac:dyDescent="0.2">
      <c r="A20" s="187">
        <v>18</v>
      </c>
      <c r="B20" s="185" t="s">
        <v>249</v>
      </c>
      <c r="C20" s="184">
        <v>6</v>
      </c>
      <c r="D20" s="184" t="s">
        <v>215</v>
      </c>
      <c r="E20" s="205" t="s">
        <v>293</v>
      </c>
      <c r="F20" s="204">
        <v>290002</v>
      </c>
      <c r="G20" s="206">
        <v>8.6</v>
      </c>
      <c r="H20" s="204" t="s">
        <v>278</v>
      </c>
      <c r="I20" s="204">
        <v>170078</v>
      </c>
      <c r="J20" s="206">
        <v>7.2</v>
      </c>
      <c r="K20" s="204" t="s">
        <v>285</v>
      </c>
      <c r="L20" s="204">
        <v>974004</v>
      </c>
      <c r="M20" s="206">
        <v>3.51</v>
      </c>
      <c r="N20" s="207">
        <f t="shared" si="0"/>
        <v>6.4366666666666674</v>
      </c>
      <c r="O20" s="207">
        <f t="shared" si="1"/>
        <v>38.620000000000005</v>
      </c>
    </row>
    <row r="21" spans="1:15" ht="45" x14ac:dyDescent="0.2">
      <c r="A21" s="187">
        <v>19</v>
      </c>
      <c r="B21" s="185" t="s">
        <v>250</v>
      </c>
      <c r="C21" s="184">
        <v>10</v>
      </c>
      <c r="D21" s="184" t="s">
        <v>215</v>
      </c>
      <c r="E21" s="204" t="s">
        <v>328</v>
      </c>
      <c r="F21" s="204">
        <v>90039</v>
      </c>
      <c r="G21" s="206">
        <v>44.39</v>
      </c>
      <c r="H21" s="204" t="s">
        <v>329</v>
      </c>
      <c r="I21" s="204">
        <v>154049</v>
      </c>
      <c r="J21" s="206">
        <v>33.03</v>
      </c>
      <c r="K21" s="204" t="s">
        <v>329</v>
      </c>
      <c r="L21" s="204">
        <v>80003</v>
      </c>
      <c r="M21" s="206">
        <v>28.91</v>
      </c>
      <c r="N21" s="207">
        <f t="shared" si="0"/>
        <v>35.443333333333335</v>
      </c>
      <c r="O21" s="207">
        <f t="shared" si="1"/>
        <v>354.43333333333334</v>
      </c>
    </row>
    <row r="22" spans="1:15" ht="45" x14ac:dyDescent="0.2">
      <c r="A22" s="187">
        <v>20</v>
      </c>
      <c r="B22" s="185" t="s">
        <v>327</v>
      </c>
      <c r="C22" s="184">
        <v>10</v>
      </c>
      <c r="D22" s="184" t="s">
        <v>215</v>
      </c>
      <c r="E22" s="204" t="s">
        <v>328</v>
      </c>
      <c r="F22" s="204">
        <v>90039</v>
      </c>
      <c r="G22" s="206">
        <v>38.090000000000003</v>
      </c>
      <c r="H22" s="204" t="s">
        <v>329</v>
      </c>
      <c r="I22" s="204">
        <v>154049</v>
      </c>
      <c r="J22" s="206">
        <v>30.38</v>
      </c>
      <c r="K22" s="204" t="s">
        <v>330</v>
      </c>
      <c r="L22" s="204">
        <v>153164</v>
      </c>
      <c r="M22" s="206">
        <v>20.93</v>
      </c>
      <c r="N22" s="207">
        <f t="shared" si="0"/>
        <v>29.8</v>
      </c>
      <c r="O22" s="207">
        <f t="shared" si="1"/>
        <v>298</v>
      </c>
    </row>
    <row r="23" spans="1:15" ht="22.5" x14ac:dyDescent="0.2">
      <c r="A23" s="187">
        <v>21</v>
      </c>
      <c r="B23" s="185" t="s">
        <v>251</v>
      </c>
      <c r="C23" s="184">
        <v>5</v>
      </c>
      <c r="D23" s="184" t="s">
        <v>215</v>
      </c>
      <c r="E23" s="204" t="s">
        <v>291</v>
      </c>
      <c r="F23" s="204">
        <v>925133</v>
      </c>
      <c r="G23" s="206">
        <v>7.5</v>
      </c>
      <c r="H23" s="204" t="s">
        <v>278</v>
      </c>
      <c r="I23" s="204">
        <v>170078</v>
      </c>
      <c r="J23" s="206">
        <v>5.4</v>
      </c>
      <c r="K23" s="205" t="s">
        <v>293</v>
      </c>
      <c r="L23" s="204">
        <v>290002</v>
      </c>
      <c r="M23" s="206">
        <v>7.3</v>
      </c>
      <c r="N23" s="207">
        <f t="shared" si="0"/>
        <v>6.7333333333333334</v>
      </c>
      <c r="O23" s="207">
        <f t="shared" si="1"/>
        <v>33.666666666666664</v>
      </c>
    </row>
    <row r="24" spans="1:15" ht="22.5" x14ac:dyDescent="0.2">
      <c r="A24" s="187">
        <v>22</v>
      </c>
      <c r="B24" s="185" t="s">
        <v>252</v>
      </c>
      <c r="C24" s="184">
        <v>10</v>
      </c>
      <c r="D24" s="184" t="s">
        <v>215</v>
      </c>
      <c r="E24" s="204" t="s">
        <v>316</v>
      </c>
      <c r="F24" s="204">
        <v>70028</v>
      </c>
      <c r="G24" s="206">
        <v>12</v>
      </c>
      <c r="H24" s="204" t="s">
        <v>278</v>
      </c>
      <c r="I24" s="204">
        <v>160431</v>
      </c>
      <c r="J24" s="206">
        <v>9</v>
      </c>
      <c r="K24" s="204" t="s">
        <v>322</v>
      </c>
      <c r="L24" s="204">
        <v>194075</v>
      </c>
      <c r="M24" s="206">
        <v>13</v>
      </c>
      <c r="N24" s="207">
        <f t="shared" si="0"/>
        <v>11.333333333333334</v>
      </c>
      <c r="O24" s="207">
        <f t="shared" si="1"/>
        <v>113.33333333333334</v>
      </c>
    </row>
    <row r="25" spans="1:15" ht="22.5" x14ac:dyDescent="0.2">
      <c r="A25" s="187">
        <v>23</v>
      </c>
      <c r="B25" s="185" t="s">
        <v>253</v>
      </c>
      <c r="C25" s="184">
        <v>5</v>
      </c>
      <c r="D25" s="184" t="s">
        <v>215</v>
      </c>
      <c r="E25" s="204" t="s">
        <v>331</v>
      </c>
      <c r="F25" s="204">
        <v>158972</v>
      </c>
      <c r="G25" s="206">
        <v>18</v>
      </c>
      <c r="H25" s="204" t="s">
        <v>332</v>
      </c>
      <c r="I25" s="204">
        <v>120638</v>
      </c>
      <c r="J25" s="206">
        <v>21.66</v>
      </c>
      <c r="K25" s="204" t="s">
        <v>292</v>
      </c>
      <c r="L25" s="204">
        <v>452286</v>
      </c>
      <c r="M25" s="206">
        <v>18.87</v>
      </c>
      <c r="N25" s="207">
        <f t="shared" si="0"/>
        <v>19.510000000000002</v>
      </c>
      <c r="O25" s="207">
        <f t="shared" si="1"/>
        <v>97.550000000000011</v>
      </c>
    </row>
    <row r="26" spans="1:15" ht="12" thickBot="1" x14ac:dyDescent="0.25">
      <c r="A26" s="228">
        <v>24</v>
      </c>
      <c r="B26" s="225" t="s">
        <v>276</v>
      </c>
      <c r="C26" s="222">
        <v>5</v>
      </c>
      <c r="D26" s="226" t="s">
        <v>215</v>
      </c>
      <c r="E26" s="229" t="s">
        <v>274</v>
      </c>
      <c r="F26" s="222">
        <v>510909</v>
      </c>
      <c r="G26" s="230">
        <v>8.42</v>
      </c>
      <c r="H26" s="231" t="s">
        <v>292</v>
      </c>
      <c r="I26" s="231">
        <v>120623</v>
      </c>
      <c r="J26" s="230">
        <v>11.9</v>
      </c>
      <c r="K26" s="229" t="s">
        <v>293</v>
      </c>
      <c r="L26" s="222">
        <v>290002</v>
      </c>
      <c r="M26" s="230">
        <v>7.9</v>
      </c>
      <c r="N26" s="218">
        <f t="shared" si="0"/>
        <v>9.4066666666666663</v>
      </c>
      <c r="O26" s="218">
        <f t="shared" si="1"/>
        <v>47.033333333333331</v>
      </c>
    </row>
    <row r="27" spans="1:15" ht="13.5" thickBot="1" x14ac:dyDescent="0.25">
      <c r="A27" s="345" t="s">
        <v>351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7"/>
      <c r="O27" s="219">
        <f>SUM(O3:O26)</f>
        <v>5254.8233333333346</v>
      </c>
    </row>
    <row r="28" spans="1:15" ht="13.5" thickBot="1" x14ac:dyDescent="0.25">
      <c r="A28" s="315" t="s">
        <v>356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7"/>
      <c r="O28" s="238">
        <f>O27/12</f>
        <v>437.90194444444455</v>
      </c>
    </row>
    <row r="29" spans="1:15" ht="13.5" thickBot="1" x14ac:dyDescent="0.25">
      <c r="A29" s="315" t="s">
        <v>357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7"/>
      <c r="O29" s="238">
        <f>O28/5</f>
        <v>87.580388888888905</v>
      </c>
    </row>
  </sheetData>
  <mergeCells count="9">
    <mergeCell ref="A28:N28"/>
    <mergeCell ref="A29:N29"/>
    <mergeCell ref="O1:O2"/>
    <mergeCell ref="K1:M1"/>
    <mergeCell ref="H1:J1"/>
    <mergeCell ref="E1:G1"/>
    <mergeCell ref="A27:N27"/>
    <mergeCell ref="A1:D1"/>
    <mergeCell ref="N1:N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opLeftCell="B1" workbookViewId="0">
      <selection activeCell="I28" sqref="I28"/>
    </sheetView>
  </sheetViews>
  <sheetFormatPr defaultRowHeight="11.25" x14ac:dyDescent="0.2"/>
  <cols>
    <col min="1" max="1" width="9.140625" style="173"/>
    <col min="2" max="2" width="42.28515625" style="173" customWidth="1"/>
    <col min="3" max="5" width="9.140625" style="173"/>
    <col min="6" max="6" width="11.5703125" style="173" bestFit="1" customWidth="1"/>
    <col min="7" max="8" width="9.140625" style="173"/>
    <col min="9" max="9" width="11.5703125" style="173" bestFit="1" customWidth="1"/>
    <col min="10" max="10" width="9.85546875" style="173" bestFit="1" customWidth="1"/>
    <col min="11" max="11" width="9.140625" style="173"/>
    <col min="12" max="12" width="11.5703125" style="173" bestFit="1" customWidth="1"/>
    <col min="13" max="13" width="9.140625" style="173"/>
    <col min="14" max="14" width="13.7109375" style="173" customWidth="1"/>
    <col min="15" max="15" width="11.42578125" style="173" customWidth="1"/>
    <col min="16" max="16384" width="9.140625" style="173"/>
  </cols>
  <sheetData>
    <row r="1" spans="1:15" x14ac:dyDescent="0.2">
      <c r="A1" s="311"/>
      <c r="B1" s="311"/>
      <c r="C1" s="311"/>
      <c r="D1" s="312"/>
      <c r="E1" s="342" t="s">
        <v>269</v>
      </c>
      <c r="F1" s="343"/>
      <c r="G1" s="344"/>
      <c r="H1" s="339" t="s">
        <v>271</v>
      </c>
      <c r="I1" s="340"/>
      <c r="J1" s="341"/>
      <c r="K1" s="336" t="s">
        <v>270</v>
      </c>
      <c r="L1" s="337"/>
      <c r="M1" s="338"/>
      <c r="N1" s="320" t="s">
        <v>273</v>
      </c>
      <c r="O1" s="320" t="s">
        <v>272</v>
      </c>
    </row>
    <row r="2" spans="1:15" ht="22.5" x14ac:dyDescent="0.2">
      <c r="A2" s="175" t="s">
        <v>208</v>
      </c>
      <c r="B2" s="246" t="s">
        <v>365</v>
      </c>
      <c r="C2" s="175" t="s">
        <v>235</v>
      </c>
      <c r="D2" s="175" t="s">
        <v>210</v>
      </c>
      <c r="E2" s="182" t="s">
        <v>266</v>
      </c>
      <c r="F2" s="182" t="s">
        <v>267</v>
      </c>
      <c r="G2" s="182" t="s">
        <v>268</v>
      </c>
      <c r="H2" s="182" t="s">
        <v>266</v>
      </c>
      <c r="I2" s="182" t="s">
        <v>267</v>
      </c>
      <c r="J2" s="182" t="s">
        <v>268</v>
      </c>
      <c r="K2" s="182" t="s">
        <v>266</v>
      </c>
      <c r="L2" s="182" t="s">
        <v>267</v>
      </c>
      <c r="M2" s="182" t="s">
        <v>268</v>
      </c>
      <c r="N2" s="320"/>
      <c r="O2" s="320"/>
    </row>
    <row r="3" spans="1:15" ht="45" x14ac:dyDescent="0.2">
      <c r="A3" s="190">
        <v>1</v>
      </c>
      <c r="B3" s="191" t="s">
        <v>254</v>
      </c>
      <c r="C3" s="176">
        <v>1</v>
      </c>
      <c r="D3" s="177" t="s">
        <v>215</v>
      </c>
      <c r="E3" s="206" t="s">
        <v>291</v>
      </c>
      <c r="F3" s="210">
        <v>925133</v>
      </c>
      <c r="G3" s="206">
        <v>380</v>
      </c>
      <c r="H3" s="204" t="s">
        <v>278</v>
      </c>
      <c r="I3" s="204">
        <v>170078</v>
      </c>
      <c r="J3" s="206">
        <v>455</v>
      </c>
      <c r="K3" s="204" t="s">
        <v>285</v>
      </c>
      <c r="L3" s="204">
        <v>974004</v>
      </c>
      <c r="M3" s="206">
        <v>455</v>
      </c>
      <c r="N3" s="207">
        <f>(G3+J3+M3)/3</f>
        <v>430</v>
      </c>
      <c r="O3" s="207">
        <f>C3*N3</f>
        <v>430</v>
      </c>
    </row>
    <row r="4" spans="1:15" x14ac:dyDescent="0.2">
      <c r="A4" s="192">
        <v>2</v>
      </c>
      <c r="B4" s="193" t="s">
        <v>297</v>
      </c>
      <c r="C4" s="194">
        <v>1</v>
      </c>
      <c r="D4" s="178" t="s">
        <v>215</v>
      </c>
      <c r="E4" s="212" t="s">
        <v>296</v>
      </c>
      <c r="F4" s="212">
        <v>925213</v>
      </c>
      <c r="G4" s="212">
        <v>252</v>
      </c>
      <c r="H4" s="212" t="s">
        <v>298</v>
      </c>
      <c r="I4" s="214">
        <v>80021</v>
      </c>
      <c r="J4" s="212">
        <v>292.49</v>
      </c>
      <c r="K4" s="212" t="s">
        <v>299</v>
      </c>
      <c r="L4" s="212">
        <v>185001</v>
      </c>
      <c r="M4" s="212">
        <v>224</v>
      </c>
      <c r="N4" s="207">
        <f t="shared" ref="N4:N11" si="0">(G4+J4+M4)/3</f>
        <v>256.16333333333336</v>
      </c>
      <c r="O4" s="207">
        <f t="shared" ref="O4:O11" si="1">C4*N4</f>
        <v>256.16333333333336</v>
      </c>
    </row>
    <row r="5" spans="1:15" x14ac:dyDescent="0.2">
      <c r="A5" s="192">
        <v>3</v>
      </c>
      <c r="B5" s="191" t="s">
        <v>255</v>
      </c>
      <c r="C5" s="176">
        <v>1</v>
      </c>
      <c r="D5" s="177" t="s">
        <v>215</v>
      </c>
      <c r="E5" s="205" t="s">
        <v>274</v>
      </c>
      <c r="F5" s="204">
        <v>510909</v>
      </c>
      <c r="G5" s="206">
        <v>560</v>
      </c>
      <c r="H5" s="206" t="s">
        <v>291</v>
      </c>
      <c r="I5" s="210">
        <v>925133</v>
      </c>
      <c r="J5" s="206">
        <v>600</v>
      </c>
      <c r="K5" s="204" t="s">
        <v>285</v>
      </c>
      <c r="L5" s="204">
        <v>974004</v>
      </c>
      <c r="M5" s="206">
        <v>899</v>
      </c>
      <c r="N5" s="207">
        <f t="shared" si="0"/>
        <v>686.33333333333337</v>
      </c>
      <c r="O5" s="207">
        <f t="shared" si="1"/>
        <v>686.33333333333337</v>
      </c>
    </row>
    <row r="6" spans="1:15" ht="45" x14ac:dyDescent="0.2">
      <c r="A6" s="190">
        <v>4</v>
      </c>
      <c r="B6" s="191" t="s">
        <v>256</v>
      </c>
      <c r="C6" s="176">
        <v>1</v>
      </c>
      <c r="D6" s="177" t="s">
        <v>215</v>
      </c>
      <c r="E6" s="205" t="s">
        <v>274</v>
      </c>
      <c r="F6" s="204">
        <v>510909</v>
      </c>
      <c r="G6" s="206">
        <v>500</v>
      </c>
      <c r="H6" s="204" t="s">
        <v>278</v>
      </c>
      <c r="I6" s="204">
        <v>170078</v>
      </c>
      <c r="J6" s="206">
        <v>1750</v>
      </c>
      <c r="K6" s="204" t="s">
        <v>285</v>
      </c>
      <c r="L6" s="204">
        <v>974004</v>
      </c>
      <c r="M6" s="206">
        <v>900</v>
      </c>
      <c r="N6" s="207">
        <f t="shared" si="0"/>
        <v>1050</v>
      </c>
      <c r="O6" s="207">
        <f t="shared" si="1"/>
        <v>1050</v>
      </c>
    </row>
    <row r="7" spans="1:15" ht="22.5" x14ac:dyDescent="0.2">
      <c r="A7" s="192">
        <v>5</v>
      </c>
      <c r="B7" s="195" t="s">
        <v>275</v>
      </c>
      <c r="C7" s="176">
        <v>2</v>
      </c>
      <c r="D7" s="177" t="s">
        <v>215</v>
      </c>
      <c r="E7" s="206" t="s">
        <v>291</v>
      </c>
      <c r="F7" s="210">
        <v>925133</v>
      </c>
      <c r="G7" s="206">
        <v>150</v>
      </c>
      <c r="H7" s="204" t="s">
        <v>278</v>
      </c>
      <c r="I7" s="204">
        <v>170078</v>
      </c>
      <c r="J7" s="206">
        <v>126</v>
      </c>
      <c r="K7" s="204" t="s">
        <v>285</v>
      </c>
      <c r="L7" s="204">
        <v>974004</v>
      </c>
      <c r="M7" s="206">
        <v>119</v>
      </c>
      <c r="N7" s="207">
        <f t="shared" si="0"/>
        <v>131.66666666666666</v>
      </c>
      <c r="O7" s="207">
        <f t="shared" si="1"/>
        <v>263.33333333333331</v>
      </c>
    </row>
    <row r="8" spans="1:15" ht="33.75" x14ac:dyDescent="0.2">
      <c r="A8" s="192">
        <v>6</v>
      </c>
      <c r="B8" s="191" t="s">
        <v>300</v>
      </c>
      <c r="C8" s="196">
        <v>3</v>
      </c>
      <c r="D8" s="177" t="s">
        <v>215</v>
      </c>
      <c r="E8" s="205" t="s">
        <v>301</v>
      </c>
      <c r="F8" s="204">
        <v>158319</v>
      </c>
      <c r="G8" s="206">
        <v>103.69</v>
      </c>
      <c r="H8" s="206" t="s">
        <v>302</v>
      </c>
      <c r="I8" s="210">
        <v>153061</v>
      </c>
      <c r="J8" s="206">
        <v>102.34</v>
      </c>
      <c r="K8" s="206" t="s">
        <v>303</v>
      </c>
      <c r="L8" s="210">
        <v>154044</v>
      </c>
      <c r="M8" s="206">
        <v>147</v>
      </c>
      <c r="N8" s="207">
        <f t="shared" si="0"/>
        <v>117.67666666666666</v>
      </c>
      <c r="O8" s="207">
        <f t="shared" si="1"/>
        <v>353.03</v>
      </c>
    </row>
    <row r="9" spans="1:15" x14ac:dyDescent="0.2">
      <c r="A9" s="192"/>
      <c r="B9" s="191" t="s">
        <v>284</v>
      </c>
      <c r="C9" s="194">
        <v>5</v>
      </c>
      <c r="D9" s="178" t="s">
        <v>210</v>
      </c>
      <c r="E9" s="206" t="s">
        <v>293</v>
      </c>
      <c r="F9" s="210">
        <v>290002</v>
      </c>
      <c r="G9" s="206">
        <v>30</v>
      </c>
      <c r="H9" s="204" t="s">
        <v>278</v>
      </c>
      <c r="I9" s="204">
        <v>170078</v>
      </c>
      <c r="J9" s="206">
        <v>182</v>
      </c>
      <c r="K9" s="204" t="s">
        <v>285</v>
      </c>
      <c r="L9" s="204">
        <v>974004</v>
      </c>
      <c r="M9" s="206">
        <v>28.99</v>
      </c>
      <c r="N9" s="207">
        <f t="shared" si="0"/>
        <v>80.33</v>
      </c>
      <c r="O9" s="207">
        <f t="shared" si="1"/>
        <v>401.65</v>
      </c>
    </row>
    <row r="10" spans="1:15" ht="45" x14ac:dyDescent="0.2">
      <c r="A10" s="190">
        <v>8</v>
      </c>
      <c r="B10" s="191" t="s">
        <v>289</v>
      </c>
      <c r="C10" s="176">
        <v>2</v>
      </c>
      <c r="D10" s="177" t="s">
        <v>215</v>
      </c>
      <c r="E10" s="213" t="s">
        <v>274</v>
      </c>
      <c r="F10" s="211">
        <v>510909</v>
      </c>
      <c r="G10" s="212">
        <f>(60/30)*50</f>
        <v>100</v>
      </c>
      <c r="H10" s="211" t="s">
        <v>278</v>
      </c>
      <c r="I10" s="211">
        <v>170078</v>
      </c>
      <c r="J10" s="212">
        <f>1.32*50</f>
        <v>66</v>
      </c>
      <c r="K10" s="206" t="s">
        <v>293</v>
      </c>
      <c r="L10" s="210">
        <v>290002</v>
      </c>
      <c r="M10" s="206">
        <v>59</v>
      </c>
      <c r="N10" s="207">
        <f t="shared" si="0"/>
        <v>75</v>
      </c>
      <c r="O10" s="207">
        <f t="shared" si="1"/>
        <v>150</v>
      </c>
    </row>
    <row r="11" spans="1:15" ht="45.75" thickBot="1" x14ac:dyDescent="0.25">
      <c r="A11" s="197">
        <v>9</v>
      </c>
      <c r="B11" s="233" t="s">
        <v>257</v>
      </c>
      <c r="C11" s="234">
        <v>5</v>
      </c>
      <c r="D11" s="235" t="s">
        <v>215</v>
      </c>
      <c r="E11" s="229" t="s">
        <v>274</v>
      </c>
      <c r="F11" s="222">
        <v>510909</v>
      </c>
      <c r="G11" s="223">
        <v>23</v>
      </c>
      <c r="H11" s="223" t="s">
        <v>291</v>
      </c>
      <c r="I11" s="236">
        <v>925133</v>
      </c>
      <c r="J11" s="223">
        <v>35</v>
      </c>
      <c r="K11" s="223" t="s">
        <v>293</v>
      </c>
      <c r="L11" s="236">
        <v>290002</v>
      </c>
      <c r="M11" s="223">
        <v>25</v>
      </c>
      <c r="N11" s="218">
        <f t="shared" si="0"/>
        <v>27.666666666666668</v>
      </c>
      <c r="O11" s="218">
        <f t="shared" si="1"/>
        <v>138.33333333333334</v>
      </c>
    </row>
    <row r="12" spans="1:15" ht="13.5" thickBot="1" x14ac:dyDescent="0.25">
      <c r="B12" s="345" t="s">
        <v>351</v>
      </c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7"/>
      <c r="O12" s="219">
        <f>SUM(O3:O11)</f>
        <v>3728.8433333333342</v>
      </c>
    </row>
    <row r="13" spans="1:15" ht="15.75" customHeight="1" thickBot="1" x14ac:dyDescent="0.25">
      <c r="B13" s="351" t="s">
        <v>364</v>
      </c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3"/>
      <c r="O13" s="245">
        <f>O12/10</f>
        <v>372.88433333333342</v>
      </c>
    </row>
    <row r="14" spans="1:15" ht="13.5" thickBot="1" x14ac:dyDescent="0.25">
      <c r="B14" s="348" t="s">
        <v>363</v>
      </c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50"/>
      <c r="O14" s="243">
        <f>O13/12</f>
        <v>31.073694444444453</v>
      </c>
    </row>
    <row r="15" spans="1:15" ht="13.5" thickBot="1" x14ac:dyDescent="0.25">
      <c r="B15" s="315" t="s">
        <v>357</v>
      </c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7"/>
      <c r="O15" s="244">
        <f>O14/5</f>
        <v>6.2147388888888901</v>
      </c>
    </row>
  </sheetData>
  <mergeCells count="10">
    <mergeCell ref="B14:N14"/>
    <mergeCell ref="B15:N15"/>
    <mergeCell ref="O1:O2"/>
    <mergeCell ref="E1:G1"/>
    <mergeCell ref="H1:J1"/>
    <mergeCell ref="K1:M1"/>
    <mergeCell ref="B12:N12"/>
    <mergeCell ref="A1:D1"/>
    <mergeCell ref="N1:N2"/>
    <mergeCell ref="B13:N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 PERICULOSIDADE</vt:lpstr>
      <vt:lpstr>Resumo</vt:lpstr>
      <vt:lpstr>UNIFORMES</vt:lpstr>
      <vt:lpstr>Materiais</vt:lpstr>
      <vt:lpstr>UTENSÍLIOS</vt:lpstr>
      <vt:lpstr>EQUIPAMENTOS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Eliezer Gentil de Souza</dc:creator>
  <cp:lastModifiedBy>DAILZA VENTURA DOS SANTOS</cp:lastModifiedBy>
  <cp:lastPrinted>2018-01-26T18:16:03Z</cp:lastPrinted>
  <dcterms:created xsi:type="dcterms:W3CDTF">2015-02-20T16:21:26Z</dcterms:created>
  <dcterms:modified xsi:type="dcterms:W3CDTF">2018-02-22T18:16:53Z</dcterms:modified>
</cp:coreProperties>
</file>